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0.jpeg" ContentType="image/jpeg"/>
  <Override PartName="/xl/media/image11.jpeg" ContentType="image/jpeg"/>
  <Override PartName="/xl/media/image12.jpeg" ContentType="image/jpeg"/>
  <Override PartName="/xl/media/image13.jpeg" ContentType="image/jpeg"/>
  <Override PartName="/xl/media/image14.jpeg" ContentType="image/jpeg"/>
  <Override PartName="/xl/media/image15.jpeg" ContentType="image/jpeg"/>
  <Override PartName="/xl/media/image16.jpeg" ContentType="image/jpeg"/>
  <Override PartName="/xl/media/image17.jpeg" ContentType="image/jpeg"/>
  <Override PartName="/xl/media/image18.jpeg" ContentType="image/jpeg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6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лан анализа" sheetId="1" state="visible" r:id="rId2"/>
    <sheet name="Анализ" sheetId="2" state="visible" r:id="rId3"/>
    <sheet name="Кредитный калькулятор" sheetId="3" state="visible" r:id="rId4"/>
    <sheet name="Персонал" sheetId="4" state="visible" r:id="rId5"/>
    <sheet name="График выходов" sheetId="5" state="visible" r:id="rId6"/>
    <sheet name="Поставщики" sheetId="6" state="visible" r:id="rId7"/>
    <sheet name="Конкуренция" sheetId="7" state="visible" r:id="rId8"/>
    <sheet name="Маркетинг" sheetId="8" state="visible" r:id="rId9"/>
    <sheet name="График реализации" sheetId="9" state="visible" r:id="rId10"/>
    <sheet name="Продукция" sheetId="10" state="visible" r:id="rId11"/>
  </sheets>
  <externalReferences>
    <externalReference r:id="rId12"/>
    <externalReference r:id="rId13"/>
  </externalReferences>
  <definedNames>
    <definedName function="false" hidden="false" localSheetId="1" name="_xlnm.Print_Area" vbProcedure="false">Анализ!$A$1:$P$178</definedName>
    <definedName function="false" hidden="false" localSheetId="8" name="_xlnm.Print_Area" vbProcedure="false">'График реализации'!$B$1:$BG$19</definedName>
    <definedName function="false" hidden="false" localSheetId="6" name="_xlnm.Print_Area" vbProcedure="false">Конкуренция!$A$1:$H$41</definedName>
    <definedName function="false" hidden="false" localSheetId="2" name="_xlnm.Print_Area" vbProcedure="false">'Кредитный калькулятор'!$A$1:$M$155</definedName>
    <definedName function="false" hidden="false" localSheetId="2" name="_xlnm.Print_Titles" vbProcedure="false">'Кредитный калькулятор'!$8:$9</definedName>
    <definedName function="false" hidden="false" localSheetId="7" name="_xlnm.Print_Area" vbProcedure="false">Маркетинг!$A$1:$O$45</definedName>
    <definedName function="false" hidden="false" localSheetId="5" name="_xlnm.Print_Area" vbProcedure="false">Поставщики!$A$1:$E$38</definedName>
    <definedName function="false" hidden="false" name="Вопрос_1" vbProcedure="false">'[1]Исходные данные'!$E$3:$E$4</definedName>
    <definedName function="false" hidden="false" name="Вопрос_10" vbProcedure="false">'[1]Исходные данные'!$N$3:$N$20</definedName>
    <definedName function="false" hidden="false" name="Вопрос_11" vbProcedure="false">'[1]Исходные данные'!$O$3:$O$6</definedName>
    <definedName function="false" hidden="false" name="Вопрос_12" vbProcedure="false">'[1]Исходные данные'!$P$3:$P$6</definedName>
    <definedName function="false" hidden="false" name="Вопрос_14" vbProcedure="false">'[1]Исходные данные'!$R$3:$R$8</definedName>
    <definedName function="false" hidden="false" name="Вопрос_15" vbProcedure="false">'[1]Исходные данные'!$S$3:$S$10</definedName>
    <definedName function="false" hidden="false" name="Вопрос_16" vbProcedure="false">'[1]Исходные данные'!$T$3:$T$7</definedName>
    <definedName function="false" hidden="false" name="Вопрос_17" vbProcedure="false">'[1]Исходные данные'!$U$3:$U$6</definedName>
    <definedName function="false" hidden="false" name="Вопрос_18" vbProcedure="false">'[1]Исходные данные'!$V$3:$V$7</definedName>
    <definedName function="false" hidden="false" name="Вопрос_19" vbProcedure="false">'[1]Исходные данные'!$W$3:$W$12</definedName>
    <definedName function="false" hidden="false" name="Вопрос_2" vbProcedure="false">'[1]Исходные данные'!$F$3:$F$7</definedName>
    <definedName function="false" hidden="false" name="Вопрос_20" vbProcedure="false">'[1]Исходные данные'!$X$3:$X$15</definedName>
    <definedName function="false" hidden="false" name="Вопрос_21" vbProcedure="false">'[1]Исходные данные'!$Y$3:$Y$8</definedName>
    <definedName function="false" hidden="false" name="Вопрос_22" vbProcedure="false">'[1]Исходные данные'!$Z$3:$Z$5</definedName>
    <definedName function="false" hidden="false" name="Вопрос_23" vbProcedure="false">'[1]Исходные данные'!$AA$3:$AA$9</definedName>
    <definedName function="false" hidden="false" name="Вопрос_26" vbProcedure="false">'[1]Исходные данные'!$AD$3:$AD$4</definedName>
    <definedName function="false" hidden="false" name="Вопрос_27" vbProcedure="false">'[1]Исходные данные'!$AE$3:$AE$5</definedName>
    <definedName function="false" hidden="false" name="Вопрос_28" vbProcedure="false">'[1]Исходные данные'!$AF$3:$AF$5</definedName>
    <definedName function="false" hidden="false" name="Вопрос_29" vbProcedure="false">'[1]Исходные данные'!$AG$3:$AG$8</definedName>
    <definedName function="false" hidden="false" name="Вопрос_3" vbProcedure="false">'[1]Исходные данные'!$G$3:$G$8</definedName>
    <definedName function="false" hidden="false" name="Вопрос_30" vbProcedure="false">'[1]Исходные данные'!$AH$3:$AH$8</definedName>
    <definedName function="false" hidden="false" name="Вопрос_31" vbProcedure="false">'[1]Исходные данные'!$AI$3:$AI$9</definedName>
    <definedName function="false" hidden="false" name="Вопрос_32" vbProcedure="false">'[1]Исходные данные'!$AJ$3:$AJ$7</definedName>
    <definedName function="false" hidden="false" name="Вопрос_33" vbProcedure="false">'[1]Исходные данные'!$AK$3:$AK$7</definedName>
    <definedName function="false" hidden="false" name="Вопрос_34" vbProcedure="false">'[1]Исходные данные'!$AL$3:$AL$6</definedName>
    <definedName function="false" hidden="false" name="Вопрос_35" vbProcedure="false">'[1]Исходные данные'!$AM$3:$AM$5</definedName>
    <definedName function="false" hidden="false" name="Вопрос_4" vbProcedure="false">'[1]Исходные данные'!$H$2:$H$62</definedName>
    <definedName function="false" hidden="false" name="Вопрос_5" vbProcedure="false">'[1]Исходные данные'!$I$3:$I$7</definedName>
    <definedName function="false" hidden="false" name="Вопрос_6" vbProcedure="false">'[1]Исходные данные'!$J$3:$J$17</definedName>
    <definedName function="false" hidden="false" name="Вопрос_7" vbProcedure="false">'[1]Исходные данные'!$K$3:$K$7</definedName>
    <definedName function="false" hidden="false" name="Вопрос_8" vbProcedure="false">'[1]Исходные данные'!$L$3:$L$12</definedName>
    <definedName function="false" hidden="false" name="Вопрос_9" vbProcedure="false">'[1]Исходные данные'!$M$3:$M$11</definedName>
    <definedName function="false" hidden="false" name="ндс" vbProcedure="false">[2]Исх!$C$17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8" authorId="0">
      <text>
        <r>
          <rPr>
            <b val="true"/>
            <sz val="9"/>
            <color rgb="FF000000"/>
            <rFont val="Tahoma"/>
            <family val="2"/>
          </rPr>
          <t xml:space="preserve">Постоянные затраты - это затраты, которые компания несет из месяца в месяц не зависимо от объемов производства (например: аренда помещения и заработная плата (кроме сдельной) сотрудникам должна выплачиваться ежемесячно, независимо от того, были ли у компании продажи или нет)</t>
        </r>
      </text>
    </comment>
    <comment ref="C92" authorId="0">
      <text>
        <r>
          <rPr>
            <b val="true"/>
            <sz val="9"/>
            <color rgb="FF000000"/>
            <rFont val="Tahoma"/>
            <family val="2"/>
          </rPr>
          <t xml:space="preserve">Внимание! Данная ячейка имеет формулу, не удаляйте её без особой необходимости</t>
        </r>
      </text>
    </comment>
    <comment ref="C93" authorId="0">
      <text>
        <r>
          <rPr>
            <b val="true"/>
            <sz val="9"/>
            <color rgb="FF000000"/>
            <rFont val="Tahoma"/>
            <family val="2"/>
          </rPr>
          <t xml:space="preserve">Внимание! Данная ячейка имеет формулу, не удаляйте её без особой необходимости</t>
        </r>
      </text>
    </comment>
    <comment ref="C94" authorId="0">
      <text>
        <r>
          <rPr>
            <b val="true"/>
            <sz val="9"/>
            <color rgb="FF000000"/>
            <rFont val="Tahoma"/>
            <family val="2"/>
          </rPr>
          <t xml:space="preserve">Внимание! Данная ячейка имеет формулу, не удаляйте её без особой необходимости</t>
        </r>
      </text>
    </comment>
    <comment ref="D88" authorId="0">
      <text>
        <r>
          <rPr>
            <b val="true"/>
            <sz val="9"/>
            <color rgb="FF000000"/>
            <rFont val="Tahoma"/>
            <family val="2"/>
          </rPr>
          <t xml:space="preserve">Переменные затраты - это затраты, которые напрямую зависят от объемов производства (например: затраты на сырье полностью зависят от того, какие объемы производства готовой продукции запланированы и, соответственно, затраты на сырье могут изменяться ежемесячно)</t>
        </r>
      </text>
    </comment>
  </commentList>
</comments>
</file>

<file path=xl/sharedStrings.xml><?xml version="1.0" encoding="utf-8"?>
<sst xmlns="http://schemas.openxmlformats.org/spreadsheetml/2006/main" count="852" uniqueCount="543">
  <si>
    <t xml:space="preserve">Главные вопросы, требующие ответа перед тем,
как начать анализ бизнес-идеи</t>
  </si>
  <si>
    <t xml:space="preserve">Юр.статус</t>
  </si>
  <si>
    <t xml:space="preserve">Физическое лицо-предприниматель</t>
  </si>
  <si>
    <t xml:space="preserve">1.</t>
  </si>
  <si>
    <t xml:space="preserve">Почему Вы хотите начать заниматься бизнесом?</t>
  </si>
  <si>
    <t xml:space="preserve">Товарищество</t>
  </si>
  <si>
    <t xml:space="preserve">(вопрос для того, чтобы Вы смогли точно определить для себя, действительно ли Вы хотите заняться собственным бизнесом)</t>
  </si>
  <si>
    <t xml:space="preserve">Общество с ограниченной ответственностью</t>
  </si>
  <si>
    <t xml:space="preserve">Для обретения финансовой независимости</t>
  </si>
  <si>
    <t xml:space="preserve">Закрытое акционерное общество</t>
  </si>
  <si>
    <t xml:space="preserve">Открытое акционерное общество</t>
  </si>
  <si>
    <t xml:space="preserve">2.</t>
  </si>
  <si>
    <t xml:space="preserve">Готовы ли Вы тратить свое личное время и деньги на запуск и развитие бизнеса?</t>
  </si>
  <si>
    <t xml:space="preserve">Публичное акционерное общество</t>
  </si>
  <si>
    <t xml:space="preserve">(вопрос для того, чтобы Вы смогли понять, действительно ли Вы готовы жертвовать своим временем, деньгами и нервами для организации собственного бизнеса)</t>
  </si>
  <si>
    <t xml:space="preserve">Товарищество с ограниченной ответственностью</t>
  </si>
  <si>
    <t xml:space="preserve">Да, готов</t>
  </si>
  <si>
    <t xml:space="preserve">3.</t>
  </si>
  <si>
    <t xml:space="preserve">Какую юридическую структуры Вы планируете для своего бизнеса?</t>
  </si>
  <si>
    <t xml:space="preserve">4.</t>
  </si>
  <si>
    <t xml:space="preserve">Какой вид деятельности Вы решили рассмотреть и проанализировать?</t>
  </si>
  <si>
    <t xml:space="preserve">Производство и продажа пиццы на вынос</t>
  </si>
  <si>
    <t xml:space="preserve">5.</t>
  </si>
  <si>
    <t xml:space="preserve">Какую продукцию или услугу Вы будете реализовывать?</t>
  </si>
  <si>
    <t xml:space="preserve">Пицца</t>
  </si>
  <si>
    <t xml:space="preserve">6.</t>
  </si>
  <si>
    <t xml:space="preserve">Какой Вы видите свою основную миссию:</t>
  </si>
  <si>
    <t xml:space="preserve">Я помогаю:</t>
  </si>
  <si>
    <t xml:space="preserve">молодым семьям, студентам и офисным сотрудникам</t>
  </si>
  <si>
    <t xml:space="preserve">(кому)</t>
  </si>
  <si>
    <t xml:space="preserve">получить или стать:</t>
  </si>
  <si>
    <t xml:space="preserve">получить качественную пиццу по сравнительно низкой цене</t>
  </si>
  <si>
    <t xml:space="preserve">(что Вы улучшаете для клиента)</t>
  </si>
  <si>
    <t xml:space="preserve">с помощью:</t>
  </si>
  <si>
    <t xml:space="preserve">ценовой политики, направленной на максимальное снижение собственных затрат</t>
  </si>
  <si>
    <t xml:space="preserve">(основное преимущество Вашего продукта или услуги)</t>
  </si>
  <si>
    <t xml:space="preserve">7.</t>
  </si>
  <si>
    <t xml:space="preserve">Где Ваш бизнес будет располагаться?</t>
  </si>
  <si>
    <t xml:space="preserve">центральный район города</t>
  </si>
  <si>
    <t xml:space="preserve">(вопрос для того, чтобы Вы могли определить для себя наиболее оптимальное, на Ваш взгляд, месторасположение Вашего бизнеса)</t>
  </si>
  <si>
    <t xml:space="preserve">8.</t>
  </si>
  <si>
    <t xml:space="preserve">Как планируете управлять Вашим собственным бизнесом и по какому графику будет работать Ваш бизнес?</t>
  </si>
  <si>
    <t xml:space="preserve">до устойчивого развития бизнеса управление буду осуществлять единолично</t>
  </si>
  <si>
    <t xml:space="preserve">Для определения графика работы Вашей компании перейдите по ссылке ниже:</t>
  </si>
  <si>
    <t xml:space="preserve">График работы</t>
  </si>
  <si>
    <t xml:space="preserve">9.</t>
  </si>
  <si>
    <t xml:space="preserve">Сколько денег Вам потребуется для запуска бизнеса и его функционирования на первых порах?</t>
  </si>
  <si>
    <t xml:space="preserve">Данные по первоначальному финансированию заполните, перейдя по ссылкам ниже:</t>
  </si>
  <si>
    <t xml:space="preserve">Денежная единица, используемая при анализе данной бизнес-идеи</t>
  </si>
  <si>
    <t xml:space="preserve">Потребность в первоначальном финансировании</t>
  </si>
  <si>
    <t xml:space="preserve">Кредитный калькулятор для анализа условий кредитования</t>
  </si>
  <si>
    <t xml:space="preserve">10.</t>
  </si>
  <si>
    <t xml:space="preserve">На что будут потрачены средства, запланированные для старта бизнеса?</t>
  </si>
  <si>
    <t xml:space="preserve">Хорошо продумайте, какие затраты Вам необходимо будет понести при запуске бизнеса, и внесите их в таблицы, перейдя по ссылкам ниже:</t>
  </si>
  <si>
    <t xml:space="preserve">Приобретение необходимого оборудования</t>
  </si>
  <si>
    <t xml:space="preserve">Прочие необходимые для запуска бизнеса затраты</t>
  </si>
  <si>
    <t xml:space="preserve">11.</t>
  </si>
  <si>
    <t xml:space="preserve">Сколько сотрудников Вам потребуется и каких специальностей для нормального функционирования бизнеса?</t>
  </si>
  <si>
    <t xml:space="preserve">Для проработки вопросов, связанных с персоналом, перейдите по ссылкам ниже:</t>
  </si>
  <si>
    <t xml:space="preserve">Организационная структура компании</t>
  </si>
  <si>
    <t xml:space="preserve">Функциональные обязанности персонала</t>
  </si>
  <si>
    <t xml:space="preserve">График выходов персонала</t>
  </si>
  <si>
    <t xml:space="preserve">12.</t>
  </si>
  <si>
    <t xml:space="preserve">Кто Ваши основные поставщики?</t>
  </si>
  <si>
    <t xml:space="preserve">Для анализа поставщиков перейдите по ссылке ниже:</t>
  </si>
  <si>
    <t xml:space="preserve">Анализ поставщиков (сильные и слабые стороны)</t>
  </si>
  <si>
    <t xml:space="preserve">13.</t>
  </si>
  <si>
    <t xml:space="preserve">Кто Ваши конкуренты?</t>
  </si>
  <si>
    <t xml:space="preserve">Для анализа конкурентов, перейдите по ссылке ниже:</t>
  </si>
  <si>
    <t xml:space="preserve">Анализ конкурентов (сильные и слабые стороны, цена продукции/услуг)</t>
  </si>
  <si>
    <t xml:space="preserve">14.</t>
  </si>
  <si>
    <t xml:space="preserve">Что отличает Вашу бизнес-идею и продукцию или услугу от других представителей рынка?</t>
  </si>
  <si>
    <t xml:space="preserve">секретный итальянский соус для пиццы и фирменный рецепт основы, которая долгое вредя остается мягкой</t>
  </si>
  <si>
    <t xml:space="preserve">15.</t>
  </si>
  <si>
    <t xml:space="preserve">Какие налоги Вам необходимо будет платить?</t>
  </si>
  <si>
    <t xml:space="preserve">Определите для себя максимально приемлемую систему налогообложения и внесите хотя бы ориентировочные суммы налогов в таблицу затрат, перейдя по ссылке ниже:</t>
  </si>
  <si>
    <t xml:space="preserve">Постоянные ежемесячные затраты (налоги)</t>
  </si>
  <si>
    <t xml:space="preserve">16.</t>
  </si>
  <si>
    <t xml:space="preserve">Что за страховка Вам понадобиться?</t>
  </si>
  <si>
    <t xml:space="preserve">Страхование имущества и оборудования</t>
  </si>
  <si>
    <t xml:space="preserve">Для внесения единоразовых затрат на страхование при открытии бизнеса, перейдите по ссылке ниже:</t>
  </si>
  <si>
    <t xml:space="preserve">Единоразовые затраты на страхование при старте</t>
  </si>
  <si>
    <t xml:space="preserve">Для внесения ежемесячных затрат на страхование, перейдите по ссылке ниже:</t>
  </si>
  <si>
    <t xml:space="preserve">Ежемесячные затраты на страхование</t>
  </si>
  <si>
    <t xml:space="preserve">17.</t>
  </si>
  <si>
    <t xml:space="preserve">Какие затраты (постоянные, переменные) вы понесете, как ежемесячно, так и на единицу продукции?</t>
  </si>
  <si>
    <t xml:space="preserve">Для внесения постоянных и переменных затрат перейдите по ссылкам ниже:</t>
  </si>
  <si>
    <t xml:space="preserve">Постоянные ежемесячные затраты</t>
  </si>
  <si>
    <r>
      <rPr>
        <sz val="10"/>
        <color rgb="FF4F6228"/>
        <rFont val="Calibri"/>
        <family val="2"/>
      </rPr>
      <t xml:space="preserve">- </t>
    </r>
    <r>
      <rPr>
        <b val="true"/>
        <sz val="10"/>
        <color rgb="FF4F6228"/>
        <rFont val="Calibri"/>
        <family val="2"/>
      </rPr>
      <t xml:space="preserve">Постоянные затраты</t>
    </r>
    <r>
      <rPr>
        <sz val="10"/>
        <color rgb="FF4F6228"/>
        <rFont val="Calibri"/>
        <family val="2"/>
      </rPr>
      <t xml:space="preserve"> - это затраты, которые компания несет из месяца в месяц не зависимо от объемов производства (например: аренда помещения и заработная плата (кроме сдельной) сотрудникам должна выплачиваться ежемесячно, независимо от того, были ли у компании продажи или нет)</t>
    </r>
  </si>
  <si>
    <t xml:space="preserve">Переменные затраты на единицу продукции</t>
  </si>
  <si>
    <r>
      <rPr>
        <sz val="10"/>
        <color rgb="FF4F6228"/>
        <rFont val="Calibri"/>
        <family val="2"/>
      </rPr>
      <t xml:space="preserve">-</t>
    </r>
    <r>
      <rPr>
        <b val="true"/>
        <sz val="10"/>
        <color rgb="FF4F6228"/>
        <rFont val="Calibri"/>
        <family val="2"/>
      </rPr>
      <t xml:space="preserve">Переменные затраты</t>
    </r>
    <r>
      <rPr>
        <sz val="10"/>
        <color rgb="FF4F6228"/>
        <rFont val="Calibri"/>
        <family val="2"/>
      </rPr>
      <t xml:space="preserve"> - это затраты, которые напрямую зависят от объемов производства (например: затраты на сырье полностью зависят от того, какие объемы производства готовой продукции запланированы и, соответственно, затраты на сырье могут изменяться ежемесячно)</t>
    </r>
  </si>
  <si>
    <t xml:space="preserve">18.</t>
  </si>
  <si>
    <t xml:space="preserve">Кто потенциальный покупатель Вашей продукции или услуги?</t>
  </si>
  <si>
    <t xml:space="preserve">Для определения своего потенциального покупателя перейдите по ссылке ниже:</t>
  </si>
  <si>
    <t xml:space="preserve">Потенциальный потребитель</t>
  </si>
  <si>
    <t xml:space="preserve">19.</t>
  </si>
  <si>
    <t xml:space="preserve">Как будете рекламировать Ваш бизнес?</t>
  </si>
  <si>
    <t xml:space="preserve">Для определения стратегии развития и способов рекламы, перейдите по ссылкам ниже:</t>
  </si>
  <si>
    <t xml:space="preserve">Стратегия</t>
  </si>
  <si>
    <t xml:space="preserve">Реклама</t>
  </si>
  <si>
    <t xml:space="preserve">20.</t>
  </si>
  <si>
    <t xml:space="preserve">Как Вы планируете продвигать свою продукцию или услуги на рынке?</t>
  </si>
  <si>
    <t xml:space="preserve">Для определения путей продвижения продукции на рынке, перейдите по ссылке ниже:</t>
  </si>
  <si>
    <t xml:space="preserve">Продвижение продукции на рынке</t>
  </si>
  <si>
    <t xml:space="preserve">21.</t>
  </si>
  <si>
    <t xml:space="preserve">Какой предположительно период времени пройдет от первоначального запуска бизнеса, до тех пор, пока продукты или услуги, которые Вы планируете реализовывать, станут доступны потребителю?</t>
  </si>
  <si>
    <t xml:space="preserve">один день</t>
  </si>
  <si>
    <t xml:space="preserve">22.</t>
  </si>
  <si>
    <t xml:space="preserve">Сколько времени по Вашим предположениям пройдет до того, как Вы начнете получать прибыль?</t>
  </si>
  <si>
    <t xml:space="preserve">три месяца</t>
  </si>
  <si>
    <t xml:space="preserve">23.</t>
  </si>
  <si>
    <t xml:space="preserve">Какие основные этапы для организации запуска бизнеса Вам необходимо пройти?</t>
  </si>
  <si>
    <t xml:space="preserve">Для определения основных этапов реализации и их сроков, перейдите по ссылке ниже:</t>
  </si>
  <si>
    <t xml:space="preserve">График реализации</t>
  </si>
  <si>
    <t xml:space="preserve">Перейти к анализу бизнес-идеи</t>
  </si>
  <si>
    <t xml:space="preserve">Наименование проекта:</t>
  </si>
  <si>
    <t xml:space="preserve">Год</t>
  </si>
  <si>
    <t xml:space="preserve">Месяц</t>
  </si>
  <si>
    <t xml:space="preserve">Круглосуточный</t>
  </si>
  <si>
    <t xml:space="preserve">Собственные</t>
  </si>
  <si>
    <t xml:space="preserve">Да</t>
  </si>
  <si>
    <t xml:space="preserve">Январь</t>
  </si>
  <si>
    <t xml:space="preserve">Односменный</t>
  </si>
  <si>
    <t xml:space="preserve">Инвестор</t>
  </si>
  <si>
    <t xml:space="preserve">Нет</t>
  </si>
  <si>
    <t xml:space="preserve">Юридический статус:</t>
  </si>
  <si>
    <t xml:space="preserve">a</t>
  </si>
  <si>
    <t xml:space="preserve">Основной продукт бизнес-деятельности:</t>
  </si>
  <si>
    <t xml:space="preserve">Февраль</t>
  </si>
  <si>
    <t xml:space="preserve">Двухсменный</t>
  </si>
  <si>
    <t xml:space="preserve">Партнер</t>
  </si>
  <si>
    <t xml:space="preserve">Март</t>
  </si>
  <si>
    <t xml:space="preserve">Трехсменный</t>
  </si>
  <si>
    <t xml:space="preserve">Кредит</t>
  </si>
  <si>
    <t xml:space="preserve">Предполагаемый период запуска проекта</t>
  </si>
  <si>
    <t xml:space="preserve">Главная миссия:</t>
  </si>
  <si>
    <t xml:space="preserve">Апрель</t>
  </si>
  <si>
    <t xml:space="preserve">Четырехсменный</t>
  </si>
  <si>
    <t xml:space="preserve">Лизинг</t>
  </si>
  <si>
    <t xml:space="preserve">Денежная единица проекта</t>
  </si>
  <si>
    <t xml:space="preserve">грн.</t>
  </si>
  <si>
    <t xml:space="preserve">Реализуя свою бизнес-идею я помогаю</t>
  </si>
  <si>
    <t xml:space="preserve">Май</t>
  </si>
  <si>
    <t xml:space="preserve">Аренда</t>
  </si>
  <si>
    <t xml:space="preserve">Минимальная единица продукции/услуг</t>
  </si>
  <si>
    <t xml:space="preserve">ед.</t>
  </si>
  <si>
    <t xml:space="preserve">получить или стать</t>
  </si>
  <si>
    <t xml:space="preserve">Июнь</t>
  </si>
  <si>
    <t xml:space="preserve">с помощью</t>
  </si>
  <si>
    <t xml:space="preserve">Июль</t>
  </si>
  <si>
    <t xml:space="preserve">План-график работы компании:</t>
  </si>
  <si>
    <t xml:space="preserve">Август</t>
  </si>
  <si>
    <t xml:space="preserve">Основные цели и задачи бизнес-проекта:</t>
  </si>
  <si>
    <t xml:space="preserve">Сентябрь</t>
  </si>
  <si>
    <t xml:space="preserve">Продолжительность одной смены, часов</t>
  </si>
  <si>
    <t xml:space="preserve">Выйти на безубыточный уровень к августу 2020 года</t>
  </si>
  <si>
    <t xml:space="preserve">Октябрь</t>
  </si>
  <si>
    <t xml:space="preserve">Количество рабочих дней в неделю</t>
  </si>
  <si>
    <t xml:space="preserve">Выйти на уровень продаж в 50 пицц в сутки к апрелю 2021 года</t>
  </si>
  <si>
    <t xml:space="preserve">Ноябрь</t>
  </si>
  <si>
    <t xml:space="preserve">Декабрь</t>
  </si>
  <si>
    <t xml:space="preserve">Первоначальные вложения для запуска бизнеса:</t>
  </si>
  <si>
    <t xml:space="preserve">В затратах на открытие учтена сумма постоянных затрат на период</t>
  </si>
  <si>
    <t xml:space="preserve">мес., и переменные на выпуск</t>
  </si>
  <si>
    <t xml:space="preserve">Сумма, необходимая для запуска бизнеса</t>
  </si>
  <si>
    <t xml:space="preserve">Собственные средства</t>
  </si>
  <si>
    <t xml:space="preserve">%</t>
  </si>
  <si>
    <t xml:space="preserve">Управление бизнесом:</t>
  </si>
  <si>
    <t xml:space="preserve">Заемные средства</t>
  </si>
  <si>
    <t xml:space="preserve">Источник получения заемных средств</t>
  </si>
  <si>
    <t xml:space="preserve">банковский кредит</t>
  </si>
  <si>
    <t xml:space="preserve">Предполагаемый период от старта до начала реализации продукции или услуги клиенту:</t>
  </si>
  <si>
    <t xml:space="preserve">Период возврата заемных средств</t>
  </si>
  <si>
    <t xml:space="preserve">месяцев</t>
  </si>
  <si>
    <t xml:space="preserve">Процентная ставка годовых по займу</t>
  </si>
  <si>
    <t xml:space="preserve">Предполагаемый период от старта до начала получения первой прибыли:</t>
  </si>
  <si>
    <t xml:space="preserve">Дата получения займа</t>
  </si>
  <si>
    <t xml:space="preserve">Затраты на запуск бизнеса:</t>
  </si>
  <si>
    <t xml:space="preserve">Планируемое страхование бизнеса:</t>
  </si>
  <si>
    <t xml:space="preserve">ОБОРУДОВАНИЕ</t>
  </si>
  <si>
    <t xml:space="preserve">Наименование</t>
  </si>
  <si>
    <t xml:space="preserve">Кол-во единиц</t>
  </si>
  <si>
    <t xml:space="preserve">Тип финансирования</t>
  </si>
  <si>
    <t xml:space="preserve">Срок службы
(для амортизации), мес.</t>
  </si>
  <si>
    <t xml:space="preserve">Потребляемая мощность, кВт/час </t>
  </si>
  <si>
    <t xml:space="preserve">Время работы в сутки, часов</t>
  </si>
  <si>
    <t xml:space="preserve">Потребляемая мощность в сутки, кВт</t>
  </si>
  <si>
    <t xml:space="preserve">На данный момент Ваша </t>
  </si>
  <si>
    <t xml:space="preserve">Итоги:</t>
  </si>
  <si>
    <t xml:space="preserve">разбивка финансирования выглядит</t>
  </si>
  <si>
    <t xml:space="preserve">следующим образом:</t>
  </si>
  <si>
    <t xml:space="preserve">Микроволновая печь</t>
  </si>
  <si>
    <t xml:space="preserve">электро печь для приготовления пиццы</t>
  </si>
  <si>
    <t xml:space="preserve">1.500</t>
  </si>
  <si>
    <t xml:space="preserve">Шкаф расстоечный электрический</t>
  </si>
  <si>
    <t xml:space="preserve">Кипятильник/Электрочайник</t>
  </si>
  <si>
    <t xml:space="preserve">Тестомесильная машина</t>
  </si>
  <si>
    <t xml:space="preserve">Блендер</t>
  </si>
  <si>
    <t xml:space="preserve">Вытяжка</t>
  </si>
  <si>
    <t xml:space="preserve">Стол охлаждаемый</t>
  </si>
  <si>
    <t xml:space="preserve">Холодильник</t>
  </si>
  <si>
    <t xml:space="preserve">Водогрейка (100 л)</t>
  </si>
  <si>
    <t xml:space="preserve">Электронные весы</t>
  </si>
  <si>
    <t xml:space="preserve">Кассовый аппарат</t>
  </si>
  <si>
    <t xml:space="preserve">Охранная сигнализация</t>
  </si>
  <si>
    <t xml:space="preserve">Проводка и освещение</t>
  </si>
  <si>
    <t xml:space="preserve">Противопожарная сигнализация</t>
  </si>
  <si>
    <t xml:space="preserve">Прочий инвентарь</t>
  </si>
  <si>
    <t xml:space="preserve">Итого:</t>
  </si>
  <si>
    <t xml:space="preserve">Средняя стоимость 1 кВт/час электроэнергии</t>
  </si>
  <si>
    <t xml:space="preserve">Средняя потребляемая мощность всего электрооборудования в месяц:</t>
  </si>
  <si>
    <t xml:space="preserve">кВт</t>
  </si>
  <si>
    <t xml:space="preserve">ДРУГИЕ НЕОБХОДИМЫЕ ЗАТРАТЫ ДЛЯ ЗАПУСКА БИЗНЕСА:</t>
  </si>
  <si>
    <t xml:space="preserve">Приобретение недвижимости</t>
  </si>
  <si>
    <t xml:space="preserve">Спецодежда для сотрудников</t>
  </si>
  <si>
    <t xml:space="preserve">Технологические карты на пиццу</t>
  </si>
  <si>
    <t xml:space="preserve">Проектирование и дизайн</t>
  </si>
  <si>
    <t xml:space="preserve">Ремонт помещения</t>
  </si>
  <si>
    <t xml:space="preserve">Получение разрешительной документации</t>
  </si>
  <si>
    <t xml:space="preserve">Создание сайта</t>
  </si>
  <si>
    <t xml:space="preserve">Другие неучтенные расходы</t>
  </si>
  <si>
    <t xml:space="preserve">Основные данные для расчета:</t>
  </si>
  <si>
    <t xml:space="preserve">Цена одной единицы продукции/услуги</t>
  </si>
  <si>
    <t xml:space="preserve">Желаемый объем реализации готовой продукции в месяц</t>
  </si>
  <si>
    <t xml:space="preserve">Ставка налога на заработную плату</t>
  </si>
  <si>
    <t xml:space="preserve">Учитывать в постоянных затратах амортизацию</t>
  </si>
  <si>
    <t xml:space="preserve">Постоянные затраты за один месяц (общие)</t>
  </si>
  <si>
    <t xml:space="preserve">Переменные затраты за один месяц  на единицу продукции (общие)</t>
  </si>
  <si>
    <t xml:space="preserve">Рентабельность, %</t>
  </si>
  <si>
    <t xml:space="preserve">Срок окупаемости, мес.</t>
  </si>
  <si>
    <t xml:space="preserve">Статья затрат</t>
  </si>
  <si>
    <t xml:space="preserve">Амортизация</t>
  </si>
  <si>
    <t xml:space="preserve">Компоненты для пиццы</t>
  </si>
  <si>
    <t xml:space="preserve">Затраты на электроэнергию</t>
  </si>
  <si>
    <t xml:space="preserve">Эксплуатационные расходы</t>
  </si>
  <si>
    <t xml:space="preserve">Начисления на ФОТ</t>
  </si>
  <si>
    <t xml:space="preserve">Упаковка для пиццы</t>
  </si>
  <si>
    <t xml:space="preserve">Проценты по кредиту</t>
  </si>
  <si>
    <t xml:space="preserve">Бухгалтер (0,5 ставки)</t>
  </si>
  <si>
    <t xml:space="preserve">Пиццмейкер (1 чел.)</t>
  </si>
  <si>
    <t xml:space="preserve">Точка безубыточности или объем продаж, после которого следующая проданная единица продукции уже принесет прибыль:</t>
  </si>
  <si>
    <t xml:space="preserve">Единый налог ФОП</t>
  </si>
  <si>
    <t xml:space="preserve">Аренда помещений</t>
  </si>
  <si>
    <t xml:space="preserve">Охрана помещения</t>
  </si>
  <si>
    <t xml:space="preserve">Налог на прибыль</t>
  </si>
  <si>
    <t xml:space="preserve">Коммунальные платежи</t>
  </si>
  <si>
    <t xml:space="preserve">Итого: Переменные затраты на одну единицу продукции</t>
  </si>
  <si>
    <t xml:space="preserve">Потенциальный покупатель:</t>
  </si>
  <si>
    <t xml:space="preserve">От конкурентов нас отличает:</t>
  </si>
  <si>
    <t xml:space="preserve">Стратегия:</t>
  </si>
  <si>
    <t xml:space="preserve">Реклама:</t>
  </si>
  <si>
    <t xml:space="preserve">Продвижение продукции на рынке:</t>
  </si>
  <si>
    <t xml:space="preserve">Примечания:</t>
  </si>
  <si>
    <t xml:space="preserve">Примерный план помещения:</t>
  </si>
  <si>
    <t xml:space="preserve">Разрешения:</t>
  </si>
  <si>
    <t xml:space="preserve">Пожарный надзор</t>
  </si>
  <si>
    <t xml:space="preserve">ВХОД</t>
  </si>
  <si>
    <t xml:space="preserve">Санстанция</t>
  </si>
  <si>
    <t xml:space="preserve">Патент на торговлю</t>
  </si>
  <si>
    <t xml:space="preserve">Оформление уголка потребителя</t>
  </si>
  <si>
    <t xml:space="preserve">Зал для клиентов</t>
  </si>
  <si>
    <t xml:space="preserve">Местоположение:</t>
  </si>
  <si>
    <t xml:space="preserve">Туалет</t>
  </si>
  <si>
    <t xml:space="preserve">Стойка приема заказов</t>
  </si>
  <si>
    <t xml:space="preserve">Место</t>
  </si>
  <si>
    <t xml:space="preserve">Вход на кухню</t>
  </si>
  <si>
    <t xml:space="preserve">Стол для</t>
  </si>
  <si>
    <t xml:space="preserve">для</t>
  </si>
  <si>
    <t xml:space="preserve">Шкаф</t>
  </si>
  <si>
    <t xml:space="preserve">подготовки</t>
  </si>
  <si>
    <t xml:space="preserve">упаковки пиццы</t>
  </si>
  <si>
    <t xml:space="preserve">Касса</t>
  </si>
  <si>
    <t xml:space="preserve">переодевания</t>
  </si>
  <si>
    <t xml:space="preserve">расстоечный</t>
  </si>
  <si>
    <t xml:space="preserve">ингредиентов</t>
  </si>
  <si>
    <t xml:space="preserve">персонала</t>
  </si>
  <si>
    <t xml:space="preserve">Кухня 1</t>
  </si>
  <si>
    <t xml:space="preserve">Кухня 2</t>
  </si>
  <si>
    <t xml:space="preserve">Холодильник 1</t>
  </si>
  <si>
    <t xml:space="preserve">Делитель</t>
  </si>
  <si>
    <t xml:space="preserve">теста</t>
  </si>
  <si>
    <t xml:space="preserve">Пресс для</t>
  </si>
  <si>
    <t xml:space="preserve">Печь для</t>
  </si>
  <si>
    <t xml:space="preserve">Холодильник 2</t>
  </si>
  <si>
    <t xml:space="preserve">Раковина</t>
  </si>
  <si>
    <t xml:space="preserve">Тестомес</t>
  </si>
  <si>
    <t xml:space="preserve">раскатки</t>
  </si>
  <si>
    <t xml:space="preserve">Стол для сборки пиццы</t>
  </si>
  <si>
    <t xml:space="preserve">пиццы</t>
  </si>
  <si>
    <t xml:space="preserve">для мытья</t>
  </si>
  <si>
    <t xml:space="preserve">Кредитный калькулятор</t>
  </si>
  <si>
    <t xml:space="preserve">←Подстановка→</t>
  </si>
  <si>
    <r>
      <rPr>
        <b val="true"/>
        <sz val="10.5"/>
        <color rgb="FFFF0000"/>
        <rFont val="Calibri"/>
        <family val="2"/>
      </rPr>
      <t xml:space="preserve">Внимание!</t>
    </r>
    <r>
      <rPr>
        <sz val="10.5"/>
        <rFont val="Calibri"/>
        <family val="2"/>
      </rPr>
      <t xml:space="preserve"> Чтобы смоделировать график платежей по другим условиям кредитования, введите необходимые значения в ячейки желтого цвета. После подбора оптимальных условий кредита, замените данные на листе "Расчет", перейдя по ссылке ниже.</t>
    </r>
  </si>
  <si>
    <t xml:space="preserve">Ставка, % годовых</t>
  </si>
  <si>
    <t xml:space="preserve">Срок кредита, месяцев</t>
  </si>
  <si>
    <t xml:space="preserve">Дата получения кредита</t>
  </si>
  <si>
    <t xml:space="preserve">Перейти к обновлению данных по кредитованию на листе "Анализ"</t>
  </si>
  <si>
    <t xml:space="preserve">Номер платежа</t>
  </si>
  <si>
    <t xml:space="preserve">Месяц, год</t>
  </si>
  <si>
    <t xml:space="preserve">Дата платежа</t>
  </si>
  <si>
    <t xml:space="preserve">Аннуитетный платеж</t>
  </si>
  <si>
    <t xml:space="preserve">Дифференцированный платеж</t>
  </si>
  <si>
    <t xml:space="preserve">Досрочный возврат</t>
  </si>
  <si>
    <t xml:space="preserve">Всего ежемесячный платеж</t>
  </si>
  <si>
    <t xml:space="preserve">В погашение долга</t>
  </si>
  <si>
    <t xml:space="preserve">В погашение процентов</t>
  </si>
  <si>
    <t xml:space="preserve">Остаток долга после платежа</t>
  </si>
  <si>
    <t xml:space="preserve">Уменьшение платежа</t>
  </si>
  <si>
    <t xml:space="preserve">Уменьшение срока</t>
  </si>
  <si>
    <t xml:space="preserve">Всего:</t>
  </si>
  <si>
    <t xml:space="preserve">Ставка налога на фонд заработной платы (для предприятий):</t>
  </si>
  <si>
    <t xml:space="preserve">№ п/п</t>
  </si>
  <si>
    <t xml:space="preserve">Должность</t>
  </si>
  <si>
    <t xml:space="preserve">Кол-во человек</t>
  </si>
  <si>
    <t xml:space="preserve">Ставка налога, %</t>
  </si>
  <si>
    <t xml:space="preserve">Директор</t>
  </si>
  <si>
    <t xml:space="preserve">Бухгалтер</t>
  </si>
  <si>
    <t xml:space="preserve">Пиццмейкер</t>
  </si>
  <si>
    <t xml:space="preserve">Помощник пиццмейкера-повар</t>
  </si>
  <si>
    <t xml:space="preserve">Помощник пиццмейкера-кассир</t>
  </si>
  <si>
    <t xml:space="preserve">ИТОГО</t>
  </si>
  <si>
    <t xml:space="preserve">Функциональные обязанности:</t>
  </si>
  <si>
    <t xml:space="preserve">Сфера ответственности</t>
  </si>
  <si>
    <t xml:space="preserve">Управляет всем бизнесом, осуществляет найм сотрудников, отвечает за разработку и реализацию стратегии развития, решает все организационные вопросы, организовывает работу персонала на первоначальном этапе и контролирует их эффективное взаимодействие, осуществляет контроль над финансовыми потоками, общается с проверяющими и контролирующими органами, ведет активную работу по выявлению тенденций роста продаж и выполняет анализ полученных данных, ведет деятельность по оптимизации расходов предприятия, составляет и планирует бюджет.</t>
  </si>
  <si>
    <t xml:space="preserve">Выполняет подготовку финансовой отчетности и обеспечивает ее своевременную сдачу в контролирующие органы</t>
  </si>
  <si>
    <t xml:space="preserve">Приготовление пиццы, контроль деятельности своих помощников и организация эффективной работы на кухне в свою смену, контроль над использованием продуктов и заказ необходимых продуктов, уборка помещения после смены</t>
  </si>
  <si>
    <t xml:space="preserve">Помощь пиццмейкеру на кухне (подготовка теста, нарезка ингредиентов, мытье посуды и т.д.), выполняет все указания пиццмейкера, следит за чистотой в всем помещении, уборка помещения после смены</t>
  </si>
  <si>
    <t xml:space="preserve">Помощь пиццмейкеру с подготовкой упаковки для пиццы, прием заказов и оплаты от клиента, следит за порядком в зале с посетителями, уборка помещения после смены</t>
  </si>
  <si>
    <t xml:space="preserve">График выходов</t>
  </si>
  <si>
    <t xml:space="preserve">Запланированное среднее время работы предприятия:</t>
  </si>
  <si>
    <t xml:space="preserve">дней в неделю;</t>
  </si>
  <si>
    <t xml:space="preserve">часов в месяц</t>
  </si>
  <si>
    <t xml:space="preserve">Средняя норма рабочего времени одного сотрудника:</t>
  </si>
  <si>
    <t xml:space="preserve">часов в месяц (без учета праздников, т.е. в данном случае в месяце будет 22 рабочих дня)</t>
  </si>
  <si>
    <t xml:space="preserve">Условные обозначения:</t>
  </si>
  <si>
    <r>
      <rPr>
        <b val="true"/>
        <sz val="11"/>
        <color rgb="FF000000"/>
        <rFont val="Calibri"/>
        <family val="2"/>
      </rPr>
      <t xml:space="preserve">1</t>
    </r>
    <r>
      <rPr>
        <sz val="11"/>
        <color rgb="FF000000"/>
        <rFont val="Calibri"/>
        <family val="2"/>
      </rPr>
      <t xml:space="preserve"> - первая смена</t>
    </r>
  </si>
  <si>
    <t xml:space="preserve">с</t>
  </si>
  <si>
    <t xml:space="preserve">до</t>
  </si>
  <si>
    <t xml:space="preserve">Всего рабочее время:</t>
  </si>
  <si>
    <t xml:space="preserve">часов</t>
  </si>
  <si>
    <r>
      <rPr>
        <b val="true"/>
        <sz val="11"/>
        <color rgb="FF000000"/>
        <rFont val="Calibri"/>
        <family val="2"/>
      </rPr>
      <t xml:space="preserve">2</t>
    </r>
    <r>
      <rPr>
        <sz val="11"/>
        <color rgb="FF000000"/>
        <rFont val="Calibri"/>
        <family val="2"/>
      </rPr>
      <t xml:space="preserve"> - вторая смена</t>
    </r>
  </si>
  <si>
    <r>
      <rPr>
        <b val="true"/>
        <sz val="11"/>
        <color rgb="FF000000"/>
        <rFont val="Calibri"/>
        <family val="2"/>
      </rPr>
      <t xml:space="preserve">3</t>
    </r>
    <r>
      <rPr>
        <sz val="11"/>
        <color rgb="FF000000"/>
        <rFont val="Calibri"/>
        <family val="2"/>
      </rPr>
      <t xml:space="preserve"> - третья смена</t>
    </r>
  </si>
  <si>
    <r>
      <rPr>
        <b val="true"/>
        <sz val="11"/>
        <color rgb="FF000000"/>
        <rFont val="Calibri"/>
        <family val="2"/>
      </rPr>
      <t xml:space="preserve">4</t>
    </r>
    <r>
      <rPr>
        <sz val="11"/>
        <color rgb="FF000000"/>
        <rFont val="Calibri"/>
        <family val="2"/>
      </rPr>
      <t xml:space="preserve"> - четвертая смена</t>
    </r>
  </si>
  <si>
    <r>
      <rPr>
        <b val="true"/>
        <sz val="11"/>
        <color rgb="FF000000"/>
        <rFont val="Calibri"/>
        <family val="2"/>
      </rPr>
      <t xml:space="preserve">8 </t>
    </r>
    <r>
      <rPr>
        <sz val="11"/>
        <color rgb="FF000000"/>
        <rFont val="Calibri"/>
        <family val="2"/>
      </rPr>
      <t xml:space="preserve">- стандартный восьмичасовой рабочий день</t>
    </r>
  </si>
  <si>
    <r>
      <rPr>
        <b val="true"/>
        <sz val="11"/>
        <color rgb="FFFF0000"/>
        <rFont val="Calibri"/>
        <family val="2"/>
      </rPr>
      <t xml:space="preserve">В</t>
    </r>
    <r>
      <rPr>
        <sz val="11"/>
        <color rgb="FF000000"/>
        <rFont val="Calibri"/>
        <family val="2"/>
      </rPr>
      <t xml:space="preserve"> - выходной</t>
    </r>
  </si>
  <si>
    <t xml:space="preserve">Сотрудники</t>
  </si>
  <si>
    <t xml:space="preserve">Всего часов</t>
  </si>
  <si>
    <t xml:space="preserve">В</t>
  </si>
  <si>
    <t xml:space="preserve">Пиццмейкер 1</t>
  </si>
  <si>
    <t xml:space="preserve">Пиццмейкер 2</t>
  </si>
  <si>
    <t xml:space="preserve">Помощник пиццмейкера-повар 1</t>
  </si>
  <si>
    <t xml:space="preserve">Помощник пиццмейкера-повар 2</t>
  </si>
  <si>
    <t xml:space="preserve">Помощник пиццмейкера-кассир 1</t>
  </si>
  <si>
    <t xml:space="preserve">Помощник пиццмейкера-кассир 2</t>
  </si>
  <si>
    <t xml:space="preserve">Кол-во людей в 1 смену</t>
  </si>
  <si>
    <t xml:space="preserve">Кол-во людей в 2 смену</t>
  </si>
  <si>
    <t xml:space="preserve">Кол-во людей в 3 смену</t>
  </si>
  <si>
    <t xml:space="preserve">Кол-во людей в 4 смену</t>
  </si>
  <si>
    <t xml:space="preserve">Анализ поставщиков</t>
  </si>
  <si>
    <t xml:space="preserve">Вопросы, на которые следует обратить внимание при выборе поставщиков</t>
  </si>
  <si>
    <t xml:space="preserve">Поставщик</t>
  </si>
  <si>
    <t xml:space="preserve">Сильные стороны</t>
  </si>
  <si>
    <t xml:space="preserve">Слабые стороны</t>
  </si>
  <si>
    <t xml:space="preserve">Приоритет при выборе поставщиков</t>
  </si>
  <si>
    <t xml:space="preserve">Качество продукции</t>
  </si>
  <si>
    <t xml:space="preserve">Стоимость продукции</t>
  </si>
  <si>
    <t xml:space="preserve">Сырная страна
(поставщик сыра)</t>
  </si>
  <si>
    <t xml:space="preserve">1. Хорошее качество продуктов;
2. Большой ассортимент;
3. Всегда быстро обслуживают клиентов;
4. Находятся близко от места, где планируется открыть </t>
  </si>
  <si>
    <t xml:space="preserve">1. Сравнительно высокие цены по сравнению с другими компаниями</t>
  </si>
  <si>
    <t xml:space="preserve">Ассортимент</t>
  </si>
  <si>
    <t xml:space="preserve">Время (скорость) поставки</t>
  </si>
  <si>
    <t xml:space="preserve">Стоимость поставки продукции</t>
  </si>
  <si>
    <t xml:space="preserve">Условия оплаты (предоплата, послеоплата, предоставления продукции на реализацию)</t>
  </si>
  <si>
    <t xml:space="preserve">Наличие отсрочки платежей и их период</t>
  </si>
  <si>
    <t xml:space="preserve">Сырная лавка
(поставщик сыра)</t>
  </si>
  <si>
    <t xml:space="preserve">1. Большой ассортимент;
2. Имеется как дорой товар, так сравнительно дешевый</t>
  </si>
  <si>
    <t xml:space="preserve">1. Иногда товар бывает низкого качества;
2. Поставщик территориально располагается в другом районе</t>
  </si>
  <si>
    <t xml:space="preserve">Ведение документооборота</t>
  </si>
  <si>
    <t xml:space="preserve">Другие важные именно для Вас аспекты</t>
  </si>
  <si>
    <t xml:space="preserve">ПродКорзинка
(продукты питания)</t>
  </si>
  <si>
    <t xml:space="preserve">1. Большой ассортимент продуктов питания;
2. Сравнительно низкие цены на продукты;
3. Не плохое качество продуктов</t>
  </si>
  <si>
    <t xml:space="preserve">1. Поставщик не снижает цену ни при каких условиях (оптовая закупка, длительное сотрудничество)</t>
  </si>
  <si>
    <t xml:space="preserve">Наш Маркет
(продукты питания)</t>
  </si>
  <si>
    <t xml:space="preserve">1. Поставщик готов уступить в цене при регулярных покупках сравнительно больших партий товаров;
2. Качество основных продуктов выше среднего</t>
  </si>
  <si>
    <t xml:space="preserve">1. Отгрузку товара со скидками поставщик готов производить только со своей центральной базы, располагающейся в другом районе;
2. Все продукты забираются самовывозом</t>
  </si>
  <si>
    <t xml:space="preserve">Анализ конкурентов</t>
  </si>
  <si>
    <t xml:space="preserve">Прямой</t>
  </si>
  <si>
    <t xml:space="preserve">Косвенный</t>
  </si>
  <si>
    <t xml:space="preserve">Конкуренты</t>
  </si>
  <si>
    <t xml:space="preserve">Прямой или косвенный конкурент</t>
  </si>
  <si>
    <t xml:space="preserve">Точка продажи пиццы на вынос в супермаркете</t>
  </si>
  <si>
    <t xml:space="preserve">1. Низкая стоимость;
2. Сравнительно хорошее качество пиццы;
3. Большая популярность</t>
  </si>
  <si>
    <t xml:space="preserve">1. Реализует только 5-ть видов пиццы со строго обозначенными ингредиентами;
2. Клиенту не удобно ждать заказ при большой очереди за пиццей;
3. Не проводят никаких акций</t>
  </si>
  <si>
    <t xml:space="preserve">МЫ</t>
  </si>
  <si>
    <t xml:space="preserve">Пиццерия 1</t>
  </si>
  <si>
    <t xml:space="preserve">1. Большой ассортимент пиццы;
2. Есть возможность заказывать;
3. Есть комфортный зал, т.к. это полноценное кафе-пиццерия</t>
  </si>
  <si>
    <t xml:space="preserve">1. Сравнительно высокая цена на пиццу;
2. Часто приходится долго ждать заказ;
3. Плохо моют посуду, которую подают клиентам;
4. В пиццу на вынос кладут мало начинки</t>
  </si>
  <si>
    <t xml:space="preserve">Пиццерия 2</t>
  </si>
  <si>
    <t xml:space="preserve">1. Быстрое обслуживание;
2. Пицца продается в трех размерах (мини, стандарт и гигант);
3. В зале стоят комфортные диваны и имеется площадка на улице</t>
  </si>
  <si>
    <t xml:space="preserve">1. Не очень вкусная основа, которая часто бывает пережарена;
2. Очень шумно внутри заведения</t>
  </si>
  <si>
    <t xml:space="preserve">Бургерная</t>
  </si>
  <si>
    <t xml:space="preserve">1. Быстрое обслуживание;
2. Реализуемые бургеры пользуются большой популярностью среди детей и студентов</t>
  </si>
  <si>
    <t xml:space="preserve">1. В помещение часто бывает грязно из-за плохой работы уборщиков;
2. Стоимость сопутствующих товаров (напитки, десерты) сильно завышена</t>
  </si>
  <si>
    <t xml:space="preserve">Маркетинг</t>
  </si>
  <si>
    <t xml:space="preserve">Основные формы торговли:</t>
  </si>
  <si>
    <t xml:space="preserve">Форма торговли</t>
  </si>
  <si>
    <t xml:space="preserve">Клиент В2В</t>
  </si>
  <si>
    <t xml:space="preserve">Пол</t>
  </si>
  <si>
    <t xml:space="preserve">Сокращение от английских слов "Business To Business", в буквальном переводе - Бизнес Для Бизнеса. Это сектор рынка, который работает не на конечного (рядового) потребителя, а на компании, то есть на другой бизнес. Примером В2В деятельности может послужить производство барных стоек или оказание рекламных услуг: физическим лицам реклама ни к чему, а вот другим организациям она необходима.</t>
  </si>
  <si>
    <t xml:space="preserve">B2B</t>
  </si>
  <si>
    <t xml:space="preserve">Мужчина</t>
  </si>
  <si>
    <t xml:space="preserve">Форма торговли:</t>
  </si>
  <si>
    <t xml:space="preserve">B2C</t>
  </si>
  <si>
    <t xml:space="preserve">В2В -</t>
  </si>
  <si>
    <t xml:space="preserve">Менеджер по закупкам</t>
  </si>
  <si>
    <t xml:space="preserve">Женщина</t>
  </si>
  <si>
    <t xml:space="preserve">Снабженец</t>
  </si>
  <si>
    <t xml:space="preserve">Мужчина и женщина</t>
  </si>
  <si>
    <t xml:space="preserve">Основной потенциальный клиент:</t>
  </si>
  <si>
    <t xml:space="preserve">Завхоз</t>
  </si>
  <si>
    <t xml:space="preserve">компании, которая занимается</t>
  </si>
  <si>
    <t xml:space="preserve">Пол:</t>
  </si>
  <si>
    <t xml:space="preserve">В2С -</t>
  </si>
  <si>
    <t xml:space="preserve">Сокращение от английских слов "Business To Consumer", в буквальном переводе - Бизнес Для Потребителя. Это форма торговли, целью которой являются прямые продажи конечному потребителю.</t>
  </si>
  <si>
    <t xml:space="preserve">Возраст:</t>
  </si>
  <si>
    <t xml:space="preserve">17-40</t>
  </si>
  <si>
    <t xml:space="preserve">лет</t>
  </si>
  <si>
    <t xml:space="preserve">Место проживания:</t>
  </si>
  <si>
    <t xml:space="preserve">Средний ежемесячный доход:</t>
  </si>
  <si>
    <t xml:space="preserve">Интересы:</t>
  </si>
  <si>
    <t xml:space="preserve">социальные сети, Интернет, спорт и рукоделие</t>
  </si>
  <si>
    <t xml:space="preserve">Увлечения:</t>
  </si>
  <si>
    <t xml:space="preserve">у женщин вышивание, вязание, готовка вкусных блюд; у мужчин компьютеры, автомобили</t>
  </si>
  <si>
    <t xml:space="preserve">Навыки:</t>
  </si>
  <si>
    <t xml:space="preserve">женщины умеют хорошо готовить, а мужчины хорошо владеют компьютером</t>
  </si>
  <si>
    <t xml:space="preserve">Ценности:</t>
  </si>
  <si>
    <t xml:space="preserve">ведение здорового образа жизни, забота о семье</t>
  </si>
  <si>
    <t xml:space="preserve">Наводящие вопросы:</t>
  </si>
  <si>
    <t xml:space="preserve">Наша стратегия</t>
  </si>
  <si>
    <t xml:space="preserve">в проведении широкомасштабных рекламных кампаний в районе, где располагается наша пиццерия</t>
  </si>
  <si>
    <t xml:space="preserve">В чем заключается Ваша основная стратегия?</t>
  </si>
  <si>
    <t xml:space="preserve">Основные элементы стратегии</t>
  </si>
  <si>
    <t xml:space="preserve">раздача листовок на улице, в близстоящих офисах и у учебных заведений, реклама в Интернет</t>
  </si>
  <si>
    <t xml:space="preserve">Перечислите через запятую самые основные элементы стратегии</t>
  </si>
  <si>
    <t xml:space="preserve">Основное послание нашим потенциальным клиентам</t>
  </si>
  <si>
    <t xml:space="preserve">вкусная пицца на основе секретного соуса ведущего итальянского пиццайоло по доступной цене</t>
  </si>
  <si>
    <t xml:space="preserve">Каким будет Ваше основное послание клиентам?</t>
  </si>
  <si>
    <t xml:space="preserve">Эффективность такой стратегии заключается</t>
  </si>
  <si>
    <t xml:space="preserve">предложении пиццы приготовленной исключительно по итальянскому рецепту из качественных продуктов</t>
  </si>
  <si>
    <t xml:space="preserve">В чем на Ваш взгляд заключается эффективность выбранной Вами стратегии?</t>
  </si>
  <si>
    <t xml:space="preserve">Основной способ для реализации продукции</t>
  </si>
  <si>
    <t xml:space="preserve">продажа пиццы на вынос из нашей пиццерии, а также заключим договор с местной фирмой по доставке еды</t>
  </si>
  <si>
    <t xml:space="preserve">Основной способ реализации вашей продукции/услуг</t>
  </si>
  <si>
    <t xml:space="preserve">Наша реклама, в основном, будет адресована</t>
  </si>
  <si>
    <t xml:space="preserve">студентам и сотрудникам офисов, а также молодым родителям и их детям</t>
  </si>
  <si>
    <t xml:space="preserve">На каких потребителей будет направлена Ваша реклама?</t>
  </si>
  <si>
    <t xml:space="preserve">Место размещения нашей рекламы</t>
  </si>
  <si>
    <t xml:space="preserve">Интернет, билборды, ролики в общественном транспорте</t>
  </si>
  <si>
    <t xml:space="preserve">Где Вы будете размещать Вашу рекламу?</t>
  </si>
  <si>
    <t xml:space="preserve">Специальные акции для увеличения продаж:</t>
  </si>
  <si>
    <t xml:space="preserve">при покупке сразу пяти пицц, мы будем предоставлять скидку в 10% от общей суммы покупки</t>
  </si>
  <si>
    <t xml:space="preserve">Периодичность проведения акций</t>
  </si>
  <si>
    <t xml:space="preserve">акция будет действовать на постоянной основе</t>
  </si>
  <si>
    <t xml:space="preserve">С какой периодичностью Вы будете проводить эти мероприятия?</t>
  </si>
  <si>
    <t xml:space="preserve">Способ информирования клиентов о проведении акций</t>
  </si>
  <si>
    <t xml:space="preserve">почтовые рассылки через Интернет, раздача флаеров на улице и возле офисов</t>
  </si>
  <si>
    <t xml:space="preserve">Как Вы будете информировать своих клиентов о проведении этих акций?</t>
  </si>
  <si>
    <t xml:space="preserve">Начальная дата</t>
  </si>
  <si>
    <t xml:space="preserve">График реализации проекта</t>
  </si>
  <si>
    <t xml:space="preserve">Наименование этапа</t>
  </si>
  <si>
    <t xml:space="preserve">Начало этапа</t>
  </si>
  <si>
    <t xml:space="preserve">Окончание этапа</t>
  </si>
  <si>
    <t xml:space="preserve">Длительность этапа, дней</t>
  </si>
  <si>
    <t xml:space="preserve">Проработка бизнес-идеи и подготовка бизнес-плана</t>
  </si>
  <si>
    <t xml:space="preserve">Подбор помещения, подходящего для пиццерии</t>
  </si>
  <si>
    <t xml:space="preserve">Запрос в СЭС и Пожнадзор на предмет пригодности помещения</t>
  </si>
  <si>
    <t xml:space="preserve">Подготовка дизайн-проекта помещения и проекта на ремонт</t>
  </si>
  <si>
    <t xml:space="preserve">Заключение договора аренды помещения</t>
  </si>
  <si>
    <t xml:space="preserve">Поиск поставщиков оборудования</t>
  </si>
  <si>
    <t xml:space="preserve">Получение банковского кредита</t>
  </si>
  <si>
    <t xml:space="preserve">Заключение договора на поставку оборудования</t>
  </si>
  <si>
    <t xml:space="preserve">Ремонт помещения и обеспечение его необходимой инфраструктурой</t>
  </si>
  <si>
    <t xml:space="preserve">Поиск и найм персонала. Обучение персонала.</t>
  </si>
  <si>
    <t xml:space="preserve">Поставка оборудования. Его монтаж и наладка</t>
  </si>
  <si>
    <t xml:space="preserve">Разработка технологических карт на пиццу</t>
  </si>
  <si>
    <t xml:space="preserve">Поиск поставщиков сырья, заключение договоров на поставку</t>
  </si>
  <si>
    <t xml:space="preserve">Получения необходимых разрешений на ведение бизнеса</t>
  </si>
  <si>
    <t xml:space="preserve">Старт бизнеса</t>
  </si>
  <si>
    <t xml:space="preserve">Расчет затрат на ингредиенты для пиццы</t>
  </si>
  <si>
    <t xml:space="preserve">Наименование пиццы</t>
  </si>
  <si>
    <t xml:space="preserve">Ингредиенты</t>
  </si>
  <si>
    <t xml:space="preserve">Ед.изм.</t>
  </si>
  <si>
    <t xml:space="preserve">Кол-во</t>
  </si>
  <si>
    <t xml:space="preserve">Цена, грн.</t>
  </si>
  <si>
    <t xml:space="preserve">Стоимость, грн.</t>
  </si>
  <si>
    <t xml:space="preserve">Предполагаемое кол-во продаж в сутки</t>
  </si>
  <si>
    <t xml:space="preserve">Общие затраты на игридиенты в сутки, грн.</t>
  </si>
  <si>
    <t xml:space="preserve">Маргарита</t>
  </si>
  <si>
    <t xml:space="preserve">тесто для пиццы</t>
  </si>
  <si>
    <t xml:space="preserve">кг</t>
  </si>
  <si>
    <t xml:space="preserve">соус для пиццы</t>
  </si>
  <si>
    <t xml:space="preserve">вяленые помидоры</t>
  </si>
  <si>
    <t xml:space="preserve">свежие помидоры</t>
  </si>
  <si>
    <t xml:space="preserve">моцарелла</t>
  </si>
  <si>
    <t xml:space="preserve">базилик свежий</t>
  </si>
  <si>
    <t xml:space="preserve">Итого</t>
  </si>
  <si>
    <t xml:space="preserve">Неаполитано</t>
  </si>
  <si>
    <t xml:space="preserve">ветчина</t>
  </si>
  <si>
    <t xml:space="preserve">ананасы консервированные</t>
  </si>
  <si>
    <t xml:space="preserve">помидоры</t>
  </si>
  <si>
    <t xml:space="preserve">орегано</t>
  </si>
  <si>
    <t xml:space="preserve">сыр голландский</t>
  </si>
  <si>
    <t xml:space="preserve">Мексиканская</t>
  </si>
  <si>
    <t xml:space="preserve">салями</t>
  </si>
  <si>
    <t xml:space="preserve">грибы (шампиньоны)</t>
  </si>
  <si>
    <t xml:space="preserve">каперсы</t>
  </si>
  <si>
    <t xml:space="preserve">соус "Чили"</t>
  </si>
  <si>
    <t xml:space="preserve">петрушка</t>
  </si>
  <si>
    <t xml:space="preserve">Гавайская</t>
  </si>
  <si>
    <t xml:space="preserve">курица</t>
  </si>
  <si>
    <t xml:space="preserve">зелень</t>
  </si>
  <si>
    <t xml:space="preserve">Морская</t>
  </si>
  <si>
    <t xml:space="preserve">перец болгарский</t>
  </si>
  <si>
    <t xml:space="preserve">креветки</t>
  </si>
  <si>
    <t xml:space="preserve">семга</t>
  </si>
  <si>
    <t xml:space="preserve">кальмары</t>
  </si>
  <si>
    <t xml:space="preserve">Франческа</t>
  </si>
  <si>
    <t xml:space="preserve">балык</t>
  </si>
  <si>
    <t xml:space="preserve">Вегетарианская</t>
  </si>
  <si>
    <t xml:space="preserve">брынза</t>
  </si>
  <si>
    <t xml:space="preserve">Основа для пиццы</t>
  </si>
  <si>
    <t xml:space="preserve">свежие дрожжи</t>
  </si>
  <si>
    <t xml:space="preserve">мука</t>
  </si>
  <si>
    <t xml:space="preserve">сахар</t>
  </si>
  <si>
    <t xml:space="preserve">оливковое масло</t>
  </si>
  <si>
    <t xml:space="preserve">л</t>
  </si>
  <si>
    <t xml:space="preserve">вода</t>
  </si>
  <si>
    <t xml:space="preserve">соль</t>
  </si>
  <si>
    <t xml:space="preserve">Соус для пиццы</t>
  </si>
  <si>
    <t xml:space="preserve">чеснок</t>
  </si>
  <si>
    <t xml:space="preserve">лук</t>
  </si>
  <si>
    <t xml:space="preserve">Итого общие затраты на ингредиенты в сутки</t>
  </si>
  <si>
    <t xml:space="preserve">Итого средние затраты на ингредиенты в сутки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</si>
</sst>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General"/>
    <numFmt numFmtId="166" formatCode="dd/mm/yyyy"/>
    <numFmt numFmtId="167" formatCode="#,##0"/>
    <numFmt numFmtId="168" formatCode="0"/>
    <numFmt numFmtId="169" formatCode="#,##0.000"/>
    <numFmt numFmtId="170" formatCode="#,##0.0"/>
    <numFmt numFmtId="171" formatCode="#,##0.00"/>
    <numFmt numFmtId="172" formatCode="0%"/>
    <numFmt numFmtId="173" formatCode="0.00%"/>
    <numFmt numFmtId="174" formatCode="#,##0\ ;[RED]\-#,##0\ "/>
    <numFmt numFmtId="175" formatCode="0.00"/>
    <numFmt numFmtId="176" formatCode="0.0"/>
    <numFmt numFmtId="177" formatCode="h:mm"/>
    <numFmt numFmtId="178" formatCode="mmm/yy"/>
    <numFmt numFmtId="179" formatCode="0.000"/>
  </numFmts>
  <fonts count="5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10"/>
      <name val="Arial Cyr"/>
      <family val="0"/>
    </font>
    <font>
      <b val="true"/>
      <sz val="11"/>
      <color rgb="FF000000"/>
      <name val="Calibri"/>
      <family val="2"/>
    </font>
    <font>
      <b val="true"/>
      <sz val="20"/>
      <color rgb="FF000000"/>
      <name val="Calibri"/>
      <family val="2"/>
    </font>
    <font>
      <i val="true"/>
      <sz val="10"/>
      <color rgb="FF4F6228"/>
      <name val="Calibri"/>
      <family val="2"/>
    </font>
    <font>
      <u val="single"/>
      <sz val="11"/>
      <color rgb="FF0000FF"/>
      <name val="Calibri"/>
      <family val="2"/>
    </font>
    <font>
      <sz val="11"/>
      <name val="Calibri"/>
      <family val="2"/>
    </font>
    <font>
      <sz val="10"/>
      <color rgb="FF4F6228"/>
      <name val="Calibri"/>
      <family val="2"/>
    </font>
    <font>
      <b val="true"/>
      <sz val="10"/>
      <color rgb="FF4F6228"/>
      <name val="Calibri"/>
      <family val="2"/>
    </font>
    <font>
      <b val="true"/>
      <u val="single"/>
      <sz val="18"/>
      <color rgb="FF0000FF"/>
      <name val="Calibri"/>
      <family val="2"/>
    </font>
    <font>
      <b val="true"/>
      <sz val="11"/>
      <color rgb="FFFF0000"/>
      <name val="Calibri"/>
      <family val="2"/>
    </font>
    <font>
      <b val="true"/>
      <sz val="22"/>
      <color rgb="FF000000"/>
      <name val="Calibri"/>
      <family val="2"/>
    </font>
    <font>
      <b val="true"/>
      <sz val="13"/>
      <color rgb="FF000000"/>
      <name val="Calibri"/>
      <family val="2"/>
    </font>
    <font>
      <b val="true"/>
      <sz val="12"/>
      <color rgb="FF000000"/>
      <name val="Calibri"/>
      <family val="2"/>
    </font>
    <font>
      <b val="true"/>
      <sz val="11"/>
      <name val="Calibri"/>
      <family val="2"/>
    </font>
    <font>
      <sz val="11"/>
      <color rgb="FF1F497D"/>
      <name val="Calibri"/>
      <family val="2"/>
    </font>
    <font>
      <b val="true"/>
      <i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1"/>
      <color rgb="FFD9D9D9"/>
      <name val="Calibri"/>
      <family val="2"/>
    </font>
    <font>
      <b val="true"/>
      <sz val="12"/>
      <color rgb="FFFF0000"/>
      <name val="Calibri"/>
      <family val="2"/>
    </font>
    <font>
      <b val="true"/>
      <sz val="13"/>
      <color rgb="FFFFFFFF"/>
      <name val="Calibri"/>
      <family val="2"/>
    </font>
    <font>
      <b val="true"/>
      <sz val="10"/>
      <color rgb="FF000000"/>
      <name val="Calibri"/>
      <family val="2"/>
    </font>
    <font>
      <b val="true"/>
      <u val="single"/>
      <sz val="11"/>
      <color rgb="FF000000"/>
      <name val="Calibri"/>
      <family val="2"/>
    </font>
    <font>
      <sz val="12"/>
      <color rgb="FF000000"/>
      <name val="Calibri"/>
      <family val="2"/>
    </font>
    <font>
      <b val="true"/>
      <sz val="10.5"/>
      <color rgb="FF000000"/>
      <name val="Calibri"/>
      <family val="2"/>
    </font>
    <font>
      <sz val="11"/>
      <color rgb="FF0070C0"/>
      <name val="Calibri"/>
      <family val="2"/>
    </font>
    <font>
      <b val="true"/>
      <sz val="11"/>
      <color rgb="FF0070C0"/>
      <name val="Calibri"/>
      <family val="2"/>
    </font>
    <font>
      <b val="true"/>
      <sz val="14"/>
      <color rgb="FF000000"/>
      <name val="Calibri"/>
      <family val="2"/>
    </font>
    <font>
      <sz val="10.5"/>
      <color rgb="FF000000"/>
      <name val="Calibri"/>
      <family val="2"/>
    </font>
    <font>
      <b val="true"/>
      <sz val="9"/>
      <color rgb="FF000000"/>
      <name val="Tahoma"/>
      <family val="2"/>
    </font>
    <font>
      <i val="true"/>
      <sz val="11"/>
      <name val="Calibri"/>
      <family val="2"/>
    </font>
    <font>
      <sz val="11"/>
      <color rgb="FFFFFFFF"/>
      <name val="Calibri"/>
      <family val="2"/>
    </font>
    <font>
      <sz val="11"/>
      <color rgb="FFC0C0C0"/>
      <name val="Calibri"/>
      <family val="2"/>
    </font>
    <font>
      <b val="true"/>
      <sz val="20"/>
      <name val="Calibri"/>
      <family val="2"/>
    </font>
    <font>
      <sz val="10"/>
      <name val="Calibri"/>
      <family val="2"/>
    </font>
    <font>
      <sz val="10"/>
      <color rgb="FFFFFFFF"/>
      <name val="Calibri"/>
      <family val="2"/>
    </font>
    <font>
      <sz val="10"/>
      <color rgb="FFC0C0C0"/>
      <name val="Calibri"/>
      <family val="2"/>
    </font>
    <font>
      <sz val="8"/>
      <color rgb="FFFFFFFF"/>
      <name val="Calibri"/>
      <family val="2"/>
    </font>
    <font>
      <b val="true"/>
      <sz val="10.5"/>
      <color rgb="FFFF0000"/>
      <name val="Calibri"/>
      <family val="2"/>
    </font>
    <font>
      <sz val="10.5"/>
      <name val="Calibri"/>
      <family val="2"/>
    </font>
    <font>
      <b val="true"/>
      <sz val="10"/>
      <name val="Calibri"/>
      <family val="2"/>
    </font>
    <font>
      <b val="true"/>
      <sz val="11"/>
      <color rgb="FFC0C0C0"/>
      <name val="Calibri"/>
      <family val="2"/>
    </font>
    <font>
      <b val="true"/>
      <i val="true"/>
      <sz val="11"/>
      <name val="Calibri"/>
      <family val="2"/>
    </font>
    <font>
      <b val="true"/>
      <sz val="16"/>
      <color rgb="FF000000"/>
      <name val="Calibri"/>
      <family val="2"/>
    </font>
    <font>
      <sz val="11"/>
      <color rgb="FFD9D9D9"/>
      <name val="Calibri"/>
      <family val="2"/>
    </font>
    <font>
      <b val="true"/>
      <i val="true"/>
      <sz val="11"/>
      <color rgb="FF4F6228"/>
      <name val="Calibri"/>
      <family val="2"/>
    </font>
    <font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FDEADA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DEADA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C4BD97"/>
      </patternFill>
    </fill>
    <fill>
      <patternFill patternType="solid">
        <fgColor rgb="FFFFFFCC"/>
        <bgColor rgb="FFFDEADA"/>
      </patternFill>
    </fill>
    <fill>
      <patternFill patternType="solid">
        <fgColor rgb="FFC4BD97"/>
        <bgColor rgb="FFC0C0C0"/>
      </patternFill>
    </fill>
  </fills>
  <borders count="11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double">
        <color rgb="FFF79646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double">
        <color rgb="FFF79646"/>
      </top>
      <bottom/>
      <diagonal/>
    </border>
    <border diagonalUp="false" diagonalDown="false">
      <left/>
      <right/>
      <top style="double">
        <color rgb="FFF79646"/>
      </top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/>
      <bottom style="dotted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 style="slantDashDot">
        <color rgb="FF953735"/>
      </left>
      <right style="slantDashDot">
        <color rgb="FF953735"/>
      </right>
      <top style="slantDashDot">
        <color rgb="FF953735"/>
      </top>
      <bottom style="slantDashDot">
        <color rgb="FF953735"/>
      </bottom>
      <diagonal/>
    </border>
    <border diagonalUp="false" diagonalDown="false">
      <left style="slantDashDot">
        <color rgb="FF953735"/>
      </left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slantDashDot">
        <color rgb="FF953735"/>
      </top>
      <bottom/>
      <diagonal/>
    </border>
    <border diagonalUp="false" diagonalDown="false">
      <left style="thin"/>
      <right/>
      <top style="slantDashDot">
        <color rgb="FF953735"/>
      </top>
      <bottom/>
      <diagonal/>
    </border>
    <border diagonalUp="false" diagonalDown="false">
      <left style="slantDashDot">
        <color rgb="FF953735"/>
      </left>
      <right/>
      <top style="thin"/>
      <bottom/>
      <diagonal/>
    </border>
    <border diagonalUp="false" diagonalDown="false">
      <left/>
      <right/>
      <top/>
      <bottom style="slantDashDot">
        <color rgb="FF953735"/>
      </bottom>
      <diagonal/>
    </border>
    <border diagonalUp="false" diagonalDown="false">
      <left style="thin"/>
      <right/>
      <top/>
      <bottom style="slantDashDot">
        <color rgb="FF953735"/>
      </bottom>
      <diagonal/>
    </border>
    <border diagonalUp="false" diagonalDown="false">
      <left/>
      <right style="thin"/>
      <top style="slantDashDot">
        <color rgb="FF953735"/>
      </top>
      <bottom style="thin"/>
      <diagonal/>
    </border>
    <border diagonalUp="false" diagonalDown="false">
      <left style="thin"/>
      <right/>
      <top style="thin"/>
      <bottom style="slantDashDot">
        <color rgb="FF953735"/>
      </bottom>
      <diagonal/>
    </border>
    <border diagonalUp="false" diagonalDown="false">
      <left/>
      <right style="slantDashDot">
        <color rgb="FF953735"/>
      </right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hair"/>
      <top style="thin"/>
      <bottom style="medium"/>
      <diagonal/>
    </border>
    <border diagonalUp="false" diagonalDown="false">
      <left style="hair"/>
      <right style="hair"/>
      <top style="thin"/>
      <bottom style="medium"/>
      <diagonal/>
    </border>
    <border diagonalUp="false" diagonalDown="false">
      <left style="thin"/>
      <right style="hair"/>
      <top style="thin"/>
      <bottom style="medium"/>
      <diagonal/>
    </border>
    <border diagonalUp="false" diagonalDown="false">
      <left/>
      <right style="hair"/>
      <top style="thin"/>
      <bottom style="medium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medium"/>
      <top style="medium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medium"/>
      <top style="hair"/>
      <bottom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medium"/>
      <top style="hair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0" xfId="2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3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6" fillId="6" borderId="0" xfId="0" applyFont="true" applyBorder="true" applyAlignment="true" applyProtection="false">
      <alignment horizontal="right" vertical="top" textRotation="0" wrapText="false" indent="2" shrinkToFit="false"/>
      <protection locked="true" hidden="false"/>
    </xf>
    <xf numFmtId="165" fontId="17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3" borderId="5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4" fontId="18" fillId="3" borderId="6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5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6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top" textRotation="0" wrapText="false" indent="4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1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1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6" fillId="6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64" fontId="17" fillId="7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7" fillId="7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1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2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2" borderId="12" xfId="0" applyFont="true" applyBorder="true" applyAlignment="true" applyProtection="false">
      <alignment horizontal="left" vertical="top" textRotation="0" wrapText="false" indent="2" shrinkToFit="false"/>
      <protection locked="true" hidden="false"/>
    </xf>
    <xf numFmtId="165" fontId="23" fillId="2" borderId="21" xfId="0" applyFont="true" applyBorder="true" applyAlignment="true" applyProtection="false">
      <alignment horizontal="left" vertical="top" textRotation="0" wrapText="false" indent="2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3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24" xfId="0" applyFont="true" applyBorder="true" applyAlignment="true" applyProtection="false">
      <alignment horizontal="left" vertical="top" textRotation="0" wrapText="false" indent="2" shrinkToFit="false"/>
      <protection locked="true" hidden="false"/>
    </xf>
    <xf numFmtId="168" fontId="0" fillId="2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24" fillId="2" borderId="21" xfId="0" applyFont="true" applyBorder="true" applyAlignment="true" applyProtection="false">
      <alignment horizontal="right" vertical="top" textRotation="0" wrapText="false" indent="2" shrinkToFit="false"/>
      <protection locked="true" hidden="false"/>
    </xf>
    <xf numFmtId="165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3" borderId="2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27" xfId="0" applyFont="true" applyBorder="true" applyAlignment="true" applyProtection="false">
      <alignment horizontal="left" vertical="top" textRotation="0" wrapText="false" indent="2" shrinkToFit="false"/>
      <protection locked="true" hidden="false"/>
    </xf>
    <xf numFmtId="168" fontId="0" fillId="2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left" vertical="top" textRotation="0" wrapText="false" indent="2" shrinkToFit="false"/>
      <protection locked="true" hidden="false"/>
    </xf>
    <xf numFmtId="164" fontId="0" fillId="2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2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top" textRotation="0" wrapText="false" indent="2" shrinkToFit="false"/>
      <protection locked="true" hidden="false"/>
    </xf>
    <xf numFmtId="164" fontId="16" fillId="2" borderId="2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3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3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left" vertical="top" textRotation="0" wrapText="false" indent="2" shrinkToFit="false"/>
      <protection locked="true" hidden="false"/>
    </xf>
    <xf numFmtId="164" fontId="16" fillId="2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false" indent="2" shrinkToFit="false"/>
      <protection locked="true" hidden="false"/>
    </xf>
    <xf numFmtId="164" fontId="23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8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8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3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3" borderId="2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2" borderId="3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3" borderId="3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3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0" fillId="3" borderId="2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0" fillId="2" borderId="3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2" borderId="3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0" fillId="2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2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2" borderId="4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4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2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0" fillId="2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2" borderId="4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2" borderId="2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5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4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6" fillId="2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2" borderId="3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2" borderId="4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2" borderId="3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2" borderId="3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6" fillId="2" borderId="3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2" borderId="3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6" fillId="2" borderId="4" xfId="0" applyFont="true" applyBorder="true" applyAlignment="true" applyProtection="false">
      <alignment horizontal="right" vertical="top" textRotation="0" wrapText="true" indent="2" shrinkToFit="false"/>
      <protection locked="true" hidden="false"/>
    </xf>
    <xf numFmtId="171" fontId="17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6" borderId="4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5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27" fillId="2" borderId="2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3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46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18" fillId="2" borderId="45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47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6" fillId="2" borderId="4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4" fontId="6" fillId="7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4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8" fillId="8" borderId="3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28" fillId="8" borderId="4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28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28" fillId="8" borderId="3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8" fillId="8" borderId="3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3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3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3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4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7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6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4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3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3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3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30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0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3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6" fillId="0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5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5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4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5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7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0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6" borderId="3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31" fillId="6" borderId="5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31" fillId="6" borderId="5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7" fillId="6" borderId="5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31" fillId="6" borderId="5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31" fillId="6" borderId="5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2" borderId="3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4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6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6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6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6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5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4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6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10" borderId="0" xfId="22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34" fillId="10" borderId="0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8" fillId="10" borderId="0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10" borderId="0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10" borderId="0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35" fillId="10" borderId="0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36" fillId="10" borderId="0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37" fillId="2" borderId="0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1" fontId="38" fillId="10" borderId="0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9" fillId="10" borderId="0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40" fillId="10" borderId="0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5" fontId="40" fillId="10" borderId="0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8" fillId="10" borderId="0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38" fillId="2" borderId="0" xfId="22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38" fillId="2" borderId="0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1" fontId="38" fillId="2" borderId="0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8" fillId="0" borderId="22" xfId="2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8" fillId="2" borderId="25" xfId="22" applyFont="true" applyBorder="true" applyAlignment="true" applyProtection="true">
      <alignment horizontal="left" vertical="center" textRotation="0" wrapText="false" indent="2" shrinkToFit="false"/>
      <protection locked="false" hidden="true"/>
    </xf>
    <xf numFmtId="175" fontId="41" fillId="2" borderId="0" xfId="22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7" fontId="18" fillId="3" borderId="36" xfId="22" applyFont="true" applyBorder="true" applyAlignment="true" applyProtection="true">
      <alignment horizontal="left" vertical="bottom" textRotation="0" wrapText="false" indent="2" shrinkToFit="false"/>
      <protection locked="false" hidden="true"/>
    </xf>
    <xf numFmtId="164" fontId="42" fillId="2" borderId="21" xfId="22" applyFont="true" applyBorder="true" applyAlignment="true" applyProtection="true">
      <alignment horizontal="left" vertical="top" textRotation="0" wrapText="true" indent="0" shrinkToFit="false"/>
      <protection locked="true" hidden="true"/>
    </xf>
    <xf numFmtId="171" fontId="10" fillId="0" borderId="0" xfId="22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0" fillId="0" borderId="0" xfId="22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36" fillId="10" borderId="0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5" fontId="36" fillId="10" borderId="0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10" borderId="0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10" borderId="0" xfId="22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8" fillId="0" borderId="13" xfId="2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6" fontId="18" fillId="2" borderId="14" xfId="22" applyFont="true" applyBorder="true" applyAlignment="true" applyProtection="true">
      <alignment horizontal="left" vertical="center" textRotation="0" wrapText="false" indent="2" shrinkToFit="false"/>
      <protection locked="false" hidden="true"/>
    </xf>
    <xf numFmtId="176" fontId="18" fillId="3" borderId="40" xfId="22" applyFont="true" applyBorder="true" applyAlignment="true" applyProtection="true">
      <alignment horizontal="left" vertical="bottom" textRotation="0" wrapText="false" indent="2" shrinkToFit="false"/>
      <protection locked="false" hidden="true"/>
    </xf>
    <xf numFmtId="175" fontId="18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8" fontId="18" fillId="2" borderId="14" xfId="22" applyFont="true" applyBorder="true" applyAlignment="true" applyProtection="true">
      <alignment horizontal="left" vertical="center" textRotation="0" wrapText="false" indent="2" shrinkToFit="false"/>
      <protection locked="false" hidden="true"/>
    </xf>
    <xf numFmtId="168" fontId="18" fillId="3" borderId="40" xfId="22" applyFont="true" applyBorder="true" applyAlignment="true" applyProtection="true">
      <alignment horizontal="left" vertical="bottom" textRotation="0" wrapText="false" indent="2" shrinkToFit="false"/>
      <protection locked="false" hidden="true"/>
    </xf>
    <xf numFmtId="171" fontId="18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8" fillId="0" borderId="15" xfId="2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18" fillId="2" borderId="16" xfId="22" applyFont="true" applyBorder="true" applyAlignment="true" applyProtection="true">
      <alignment horizontal="left" vertical="center" textRotation="0" wrapText="false" indent="2" shrinkToFit="false"/>
      <protection locked="false" hidden="true"/>
    </xf>
    <xf numFmtId="166" fontId="18" fillId="3" borderId="67" xfId="22" applyFont="true" applyBorder="true" applyAlignment="true" applyProtection="true">
      <alignment horizontal="left" vertical="bottom" textRotation="0" wrapText="false" indent="2" shrinkToFit="false"/>
      <protection locked="false" hidden="true"/>
    </xf>
    <xf numFmtId="164" fontId="9" fillId="2" borderId="21" xfId="2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35" fillId="0" borderId="0" xfId="22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75" fontId="38" fillId="2" borderId="0" xfId="22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75" fontId="38" fillId="2" borderId="0" xfId="22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1" fontId="44" fillId="2" borderId="0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1" fontId="44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39" fillId="0" borderId="0" xfId="22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38" fillId="10" borderId="0" xfId="22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0" fillId="8" borderId="4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10" fillId="8" borderId="5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5" fontId="10" fillId="8" borderId="34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8" fillId="8" borderId="36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8" fillId="8" borderId="68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0" fillId="10" borderId="36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0" fillId="0" borderId="0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0" fillId="8" borderId="9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0" fillId="8" borderId="45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0" fillId="8" borderId="10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0" fillId="8" borderId="53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0" fillId="10" borderId="9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0" fillId="10" borderId="10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18" fillId="10" borderId="4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18" fillId="10" borderId="43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45" fillId="10" borderId="35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8" fillId="10" borderId="48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8" fillId="10" borderId="43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8" fillId="10" borderId="5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45" fillId="10" borderId="43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8" fillId="10" borderId="4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45" fillId="10" borderId="35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8" fillId="10" borderId="48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18" fillId="10" borderId="35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18" fillId="0" borderId="0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35" fillId="0" borderId="0" xfId="22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7" fontId="10" fillId="10" borderId="0" xfId="22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0" fillId="0" borderId="69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10" fillId="0" borderId="0" xfId="22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6" fontId="46" fillId="0" borderId="70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8" fillId="0" borderId="62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0" borderId="64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0" borderId="42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8" fillId="0" borderId="69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0" borderId="70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6" borderId="62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7" fontId="10" fillId="6" borderId="70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7" fontId="10" fillId="0" borderId="0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7" fontId="35" fillId="0" borderId="0" xfId="22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8" fontId="10" fillId="0" borderId="28" xfId="22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6" fontId="46" fillId="0" borderId="8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8" fillId="0" borderId="39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0" borderId="49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10" fillId="0" borderId="63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0" borderId="66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8" fillId="0" borderId="71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0" borderId="63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0" borderId="72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6" borderId="65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7" fontId="10" fillId="6" borderId="72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8" fontId="10" fillId="0" borderId="64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10" fillId="0" borderId="49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0" borderId="28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8" fillId="0" borderId="7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0" borderId="8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6" borderId="39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7" fontId="10" fillId="6" borderId="0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7" fontId="10" fillId="6" borderId="8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8" fontId="10" fillId="0" borderId="42" xfId="22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10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34" fillId="0" borderId="70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10" fillId="0" borderId="42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8" fillId="0" borderId="15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0" borderId="73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0" borderId="16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6" borderId="74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7" fontId="10" fillId="6" borderId="16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3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4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8" borderId="3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8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8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8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2" borderId="22" xfId="19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2" borderId="2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8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2" borderId="13" xfId="19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2" borderId="1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9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73" fontId="0" fillId="2" borderId="9" xfId="19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2" borderId="1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9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3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2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0" borderId="3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8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0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50" fillId="2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50" fillId="2" borderId="4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50" fillId="2" borderId="3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50" fillId="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35" fillId="2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35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35" fillId="2" borderId="9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35" fillId="2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35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2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4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8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" fillId="5" borderId="1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5" borderId="1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1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9" fontId="0" fillId="0" borderId="1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12" borderId="1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1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" fillId="12" borderId="1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1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65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1"/>
    <cellStyle name="Обычный 3" xfId="22"/>
    <cellStyle name="Обычный 4" xfId="23"/>
    <cellStyle name="Обычный 5" xfId="24"/>
    <cellStyle name="*unknown*" xfId="20" builtinId="8"/>
  </cellStyles>
  <dxfs count="3870"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b val="0"/>
        <i val="0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0000"/>
        <sz val="11"/>
      </font>
      <fill>
        <patternFill>
          <bgColor rgb="FFCCFFCC"/>
        </patternFill>
      </fill>
    </dxf>
    <dxf>
      <font>
        <name val="Calibri"/>
        <family val="2"/>
        <color rgb="FF000000"/>
        <sz val="11"/>
      </font>
      <fill>
        <patternFill>
          <bgColor rgb="FFCCFFCC"/>
        </patternFill>
      </fill>
    </dxf>
    <dxf>
      <font>
        <name val="Calibri"/>
        <family val="2"/>
        <color rgb="FF000000"/>
        <sz val="11"/>
      </font>
      <fill>
        <patternFill>
          <bgColor rgb="FFCCFFCC"/>
        </patternFill>
      </fill>
    </dxf>
    <dxf>
      <font>
        <name val="Calibri"/>
        <family val="2"/>
        <color rgb="FF000000"/>
        <sz val="11"/>
      </font>
      <fill>
        <patternFill>
          <bgColor rgb="FFCCFFCC"/>
        </patternFill>
      </fill>
    </dxf>
    <dxf>
      <font>
        <name val="Calibri"/>
        <family val="2"/>
        <color rgb="FF000000"/>
        <sz val="11"/>
      </font>
      <fill>
        <patternFill>
          <bgColor rgb="FFCCFFCC"/>
        </patternFill>
      </fill>
    </dxf>
    <dxf>
      <font>
        <name val="Calibri"/>
        <family val="2"/>
        <color rgb="FF000000"/>
        <sz val="11"/>
      </font>
      <fill>
        <patternFill>
          <bgColor rgb="FFCCFFCC"/>
        </patternFill>
      </fill>
    </dxf>
    <dxf>
      <font>
        <name val="Calibri"/>
        <family val="2"/>
        <color rgb="FF000000"/>
        <sz val="11"/>
      </font>
      <fill>
        <patternFill>
          <bgColor rgb="FFCCFFCC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b val="1"/>
        <i val="0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b val="1"/>
        <i val="0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b val="1"/>
        <i val="1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b val="1"/>
        <i val="0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FFFF"/>
        <sz val="11"/>
      </font>
      <fill>
        <patternFill>
          <bgColor rgb="FFFFFFFF"/>
        </patternFill>
      </fill>
    </dxf>
    <dxf>
      <font>
        <name val="Calibri"/>
        <family val="2"/>
        <b val="1"/>
        <i val="0"/>
        <color rgb="FF00B05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b val="1"/>
        <i val="0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b val="1"/>
        <i val="0"/>
        <color rgb="FFFF0000"/>
        <sz val="11"/>
      </font>
    </dxf>
    <dxf>
      <font>
        <name val="Calibri"/>
        <family val="2"/>
        <b val="1"/>
        <i val="0"/>
        <color rgb="FFFF0000"/>
        <sz val="11"/>
      </font>
    </dxf>
    <dxf>
      <font>
        <name val="Calibri"/>
        <family val="2"/>
        <b val="1"/>
        <i val="0"/>
        <color rgb="FFFF0000"/>
        <sz val="11"/>
      </font>
    </dxf>
    <dxf>
      <font>
        <name val="Calibri"/>
        <family val="2"/>
        <b val="1"/>
        <i val="0"/>
        <color rgb="FFFF0000"/>
        <sz val="11"/>
      </font>
    </dxf>
    <dxf>
      <font>
        <name val="Calibri"/>
        <family val="2"/>
        <b val="1"/>
        <i val="0"/>
        <color rgb="FFFF0000"/>
        <sz val="11"/>
      </font>
    </dxf>
    <dxf>
      <font>
        <name val="Calibri"/>
        <family val="2"/>
        <b val="1"/>
        <i val="0"/>
        <color rgb="FFFF0000"/>
        <sz val="11"/>
      </font>
    </dxf>
    <dxf>
      <font>
        <name val="Calibri"/>
        <family val="2"/>
        <b val="1"/>
        <i val="0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b val="1"/>
        <i val="0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00FFFFFF"/>
        </patternFill>
      </fill>
    </dxf>
    <dxf>
      <font>
        <name val="Calibri"/>
        <family val="2"/>
        <color rgb="FF0070C0"/>
        <sz val="11"/>
      </font>
      <fill>
        <patternFill>
          <bgColor rgb="FFFFFF66"/>
        </patternFill>
      </fill>
    </dxf>
    <dxf>
      <font>
        <name val="Calibri"/>
        <family val="2"/>
        <b val="1"/>
        <i val="0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b val="1"/>
        <i val="0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C0C0C0"/>
        <sz val="11"/>
      </font>
      <fill>
        <patternFill>
          <bgColor rgb="FFC0C0C0"/>
        </patternFill>
      </fill>
      <border diagonalUp="false" diagonalDown="false">
        <left/>
        <right/>
        <top/>
        <bottom/>
        <diagonal/>
      </border>
    </dxf>
    <dxf>
      <font>
        <name val="Calibri"/>
        <family val="2"/>
        <b val="1"/>
        <i val="0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b val="1"/>
        <i val="0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b val="1"/>
        <i val="0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b val="1"/>
        <i val="0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b val="1"/>
        <i val="1"/>
        <color rgb="FF0070C0"/>
        <sz val="11"/>
      </font>
    </dxf>
    <dxf>
      <font>
        <name val="Calibri"/>
        <family val="2"/>
        <b val="1"/>
        <i val="1"/>
        <color rgb="FF0070C0"/>
        <sz val="11"/>
      </font>
    </dxf>
    <dxf>
      <font>
        <name val="Calibri"/>
        <family val="2"/>
        <b val="1"/>
        <i val="1"/>
        <color rgb="FF0070C0"/>
        <sz val="11"/>
      </font>
    </dxf>
    <dxf>
      <font>
        <name val="Calibri"/>
        <family val="2"/>
        <b val="1"/>
        <i val="1"/>
        <color rgb="FF0070C0"/>
        <sz val="11"/>
      </font>
    </dxf>
    <dxf>
      <font>
        <name val="Calibri"/>
        <family val="2"/>
        <color rgb="FFFF0000"/>
        <sz val="11"/>
      </font>
    </dxf>
    <dxf>
      <font>
        <name val="Calibri"/>
        <family val="2"/>
        <color rgb="FFFF0000"/>
        <sz val="11"/>
      </font>
    </dxf>
    <dxf>
      <font>
        <name val="Calibri"/>
        <family val="2"/>
        <color rgb="FFFF0000"/>
        <sz val="11"/>
      </font>
    </dxf>
    <dxf>
      <font>
        <name val="Calibri"/>
        <family val="2"/>
        <color rgb="FFFF0000"/>
        <sz val="11"/>
      </font>
    </dxf>
    <dxf>
      <font>
        <name val="Calibri"/>
        <family val="2"/>
        <color rgb="FF000000"/>
        <sz val="11"/>
      </font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FF0000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name val="Calibri"/>
        <family val="2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name val="Calibri"/>
        <family val="2"/>
        <color rgb="FFFFFFFF"/>
        <sz val="11"/>
      </font>
      <fill>
        <patternFill>
          <bgColor rgb="FFFFFFFF"/>
        </patternFill>
      </fill>
    </dxf>
    <dxf>
      <font>
        <name val="Calibri"/>
        <family val="2"/>
        <color rgb="FFFFFFFF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00FFFFFF"/>
        <sz val="11"/>
      </font>
      <fill>
        <patternFill>
          <bgColor rgb="FF8EB4E3"/>
        </patternFill>
      </fill>
    </dxf>
    <dxf>
      <font>
        <name val="Calibri"/>
        <family val="2"/>
        <color rgb="00FFFFFF"/>
        <sz val="11"/>
      </font>
      <fill>
        <patternFill>
          <bgColor rgb="FF8EB4E3"/>
        </patternFill>
      </fill>
    </dxf>
    <dxf>
      <font>
        <name val="Calibri"/>
        <family val="2"/>
        <color rgb="00FFFFFF"/>
        <sz val="11"/>
      </font>
      <fill>
        <patternFill>
          <bgColor rgb="FF8EB4E3"/>
        </patternFill>
      </fill>
    </dxf>
    <dxf>
      <font>
        <name val="Calibri"/>
        <family val="2"/>
        <color rgb="00FFFFFF"/>
        <sz val="11"/>
      </font>
      <fill>
        <patternFill>
          <bgColor rgb="FF8EB4E3"/>
        </patternFill>
      </fill>
    </dxf>
    <dxf>
      <font>
        <name val="Calibri"/>
        <family val="2"/>
        <color rgb="FFFFFFFF"/>
        <sz val="11"/>
      </font>
    </dxf>
    <dxf>
      <font>
        <name val="Calibri"/>
        <family val="2"/>
        <color rgb="FFFFFFFF"/>
        <sz val="11"/>
      </font>
    </dxf>
    <dxf>
      <font>
        <name val="Calibri"/>
        <family val="2"/>
        <color rgb="FFFFFFFF"/>
        <sz val="11"/>
      </font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70C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53735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8EB4E3"/>
      <rgbColor rgb="FFFF99CC"/>
      <rgbColor rgb="FFCC99FF"/>
      <rgbColor rgb="FFFDEADA"/>
      <rgbColor rgb="FF3366FF"/>
      <rgbColor rgb="FF33CCCC"/>
      <rgbColor rgb="FF99CC00"/>
      <rgbColor rgb="FFFFCC00"/>
      <rgbColor rgb="FFF79646"/>
      <rgbColor rgb="FFFF6600"/>
      <rgbColor rgb="FF666699"/>
      <rgbColor rgb="FFC4BD97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://www.blogbusiness.com.ua" TargetMode="External"/><Relationship Id="rId2" Type="http://schemas.openxmlformats.org/officeDocument/2006/relationships/image" Target="../media/image10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http://www.blogbusiness.com.ua" TargetMode="External"/><Relationship Id="rId2" Type="http://schemas.openxmlformats.org/officeDocument/2006/relationships/image" Target="../media/image1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http://www.blogbusiness.com.ua" TargetMode="External"/><Relationship Id="rId2" Type="http://schemas.openxmlformats.org/officeDocument/2006/relationships/image" Target="../media/image12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hyperlink" Target="http://www.blogbusiness.com.ua" TargetMode="External"/><Relationship Id="rId2" Type="http://schemas.openxmlformats.org/officeDocument/2006/relationships/image" Target="../media/image13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http://www.blogbusiness.com.ua" TargetMode="External"/><Relationship Id="rId2" Type="http://schemas.openxmlformats.org/officeDocument/2006/relationships/image" Target="../media/image14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hyperlink" Target="http://www.blogbusiness.com.ua" TargetMode="External"/><Relationship Id="rId2" Type="http://schemas.openxmlformats.org/officeDocument/2006/relationships/image" Target="../media/image15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hyperlink" Target="http://www.blogbusiness.com.ua" TargetMode="External"/><Relationship Id="rId2" Type="http://schemas.openxmlformats.org/officeDocument/2006/relationships/image" Target="../media/image16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hyperlink" Target="http://www.blogbusiness.com.ua" TargetMode="External"/><Relationship Id="rId2" Type="http://schemas.openxmlformats.org/officeDocument/2006/relationships/image" Target="../media/image17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hyperlink" Target="http://www.blogbusiness.com.ua" TargetMode="External"/><Relationship Id="rId2" Type="http://schemas.openxmlformats.org/officeDocument/2006/relationships/image" Target="../media/image1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348840</xdr:colOff>
      <xdr:row>0</xdr:row>
      <xdr:rowOff>552240</xdr:rowOff>
    </xdr:to>
    <xdr:pic>
      <xdr:nvPicPr>
        <xdr:cNvPr id="0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780480" cy="552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1080</xdr:colOff>
      <xdr:row>0</xdr:row>
      <xdr:rowOff>0</xdr:rowOff>
    </xdr:from>
    <xdr:to>
      <xdr:col>1</xdr:col>
      <xdr:colOff>673560</xdr:colOff>
      <xdr:row>1</xdr:row>
      <xdr:rowOff>223920</xdr:rowOff>
    </xdr:to>
    <xdr:pic>
      <xdr:nvPicPr>
        <xdr:cNvPr id="1" name="Рисунок 2" descr="">
          <a:hlinkClick r:id="rId1"/>
        </xdr:cNvPr>
        <xdr:cNvPicPr/>
      </xdr:nvPicPr>
      <xdr:blipFill>
        <a:blip r:embed="rId2"/>
        <a:stretch/>
      </xdr:blipFill>
      <xdr:spPr>
        <a:xfrm>
          <a:off x="77040" y="0"/>
          <a:ext cx="672480" cy="547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158040</xdr:colOff>
      <xdr:row>1</xdr:row>
      <xdr:rowOff>132840</xdr:rowOff>
    </xdr:to>
    <xdr:pic>
      <xdr:nvPicPr>
        <xdr:cNvPr id="2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84384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</xdr:colOff>
      <xdr:row>0</xdr:row>
      <xdr:rowOff>0</xdr:rowOff>
    </xdr:from>
    <xdr:to>
      <xdr:col>2</xdr:col>
      <xdr:colOff>72360</xdr:colOff>
      <xdr:row>2</xdr:row>
      <xdr:rowOff>66240</xdr:rowOff>
    </xdr:to>
    <xdr:pic>
      <xdr:nvPicPr>
        <xdr:cNvPr id="3" name="Рисунок 2" descr="">
          <a:hlinkClick r:id="rId1"/>
        </xdr:cNvPr>
        <xdr:cNvPicPr/>
      </xdr:nvPicPr>
      <xdr:blipFill>
        <a:blip r:embed="rId2"/>
        <a:stretch/>
      </xdr:blipFill>
      <xdr:spPr>
        <a:xfrm>
          <a:off x="161640" y="0"/>
          <a:ext cx="87588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0</xdr:row>
      <xdr:rowOff>0</xdr:rowOff>
    </xdr:from>
    <xdr:to>
      <xdr:col>1</xdr:col>
      <xdr:colOff>691560</xdr:colOff>
      <xdr:row>1</xdr:row>
      <xdr:rowOff>114120</xdr:rowOff>
    </xdr:to>
    <xdr:pic>
      <xdr:nvPicPr>
        <xdr:cNvPr id="4" name="Рисунок 2" descr="">
          <a:hlinkClick r:id="rId1"/>
        </xdr:cNvPr>
        <xdr:cNvPicPr/>
      </xdr:nvPicPr>
      <xdr:blipFill>
        <a:blip r:embed="rId2"/>
        <a:stretch/>
      </xdr:blipFill>
      <xdr:spPr>
        <a:xfrm>
          <a:off x="171360" y="0"/>
          <a:ext cx="672480" cy="552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</xdr:colOff>
      <xdr:row>0</xdr:row>
      <xdr:rowOff>0</xdr:rowOff>
    </xdr:from>
    <xdr:to>
      <xdr:col>1</xdr:col>
      <xdr:colOff>681840</xdr:colOff>
      <xdr:row>1</xdr:row>
      <xdr:rowOff>56880</xdr:rowOff>
    </xdr:to>
    <xdr:pic>
      <xdr:nvPicPr>
        <xdr:cNvPr id="5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161640" y="0"/>
          <a:ext cx="67248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672480</xdr:colOff>
      <xdr:row>1</xdr:row>
      <xdr:rowOff>171000</xdr:rowOff>
    </xdr:to>
    <xdr:pic>
      <xdr:nvPicPr>
        <xdr:cNvPr id="6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152280" y="0"/>
          <a:ext cx="67248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672480</xdr:colOff>
      <xdr:row>2</xdr:row>
      <xdr:rowOff>37800</xdr:rowOff>
    </xdr:to>
    <xdr:pic>
      <xdr:nvPicPr>
        <xdr:cNvPr id="7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152280" y="0"/>
          <a:ext cx="67248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11160</xdr:colOff>
      <xdr:row>0</xdr:row>
      <xdr:rowOff>0</xdr:rowOff>
    </xdr:from>
    <xdr:to>
      <xdr:col>1</xdr:col>
      <xdr:colOff>683640</xdr:colOff>
      <xdr:row>1</xdr:row>
      <xdr:rowOff>473760</xdr:rowOff>
    </xdr:to>
    <xdr:pic>
      <xdr:nvPicPr>
        <xdr:cNvPr id="8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163440" y="0"/>
          <a:ext cx="672480" cy="5497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ergey/&#1047;&#1072;&#1075;&#1088;&#1091;&#1079;&#1082;&#1080;/&#1073;&#1080;&#1079;&#1085;&#1077;&#1089;/&#1087;&#1080;&#1094;&#1077;&#1088;&#1080;&#1103;/BP_model_2.02%20(3)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sergey/&#1047;&#1072;&#1075;&#1088;&#1091;&#1079;&#1082;&#1080;/&#1073;&#1080;&#1079;&#1085;&#1077;&#1089;/&#1087;&#1080;&#1094;&#1077;&#1088;&#1080;&#1103;/&#1048;&#1089;&#1093;&#1086;&#1076;&#1085;&#1080;&#1082;&#1080;/&#1087;&#1088;&#1080;&#1083;&#1086;&#1078;&#1077;&#1085;&#1080;&#1103;%20&#1082;%20&#1073;&#1080;&#1079;&#1085;&#1077;&#1089;%20&#1087;&#1083;&#1072;&#1085;&#1091;%20&#1072;&#1074;&#1090;&#1086;&#1084;&#1080;&#1082;&#1089;&#1077;&#1088;%202%20&#1096;&#109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BL106"/>
  <sheetViews>
    <sheetView showFormulas="false" showGridLines="true" showRowColHeaders="true" showZeros="false" rightToLeft="false" tabSelected="false" showOutlineSymbols="true" defaultGridColor="true" view="normal" topLeftCell="A85" colorId="64" zoomScale="55" zoomScaleNormal="55" zoomScalePageLayoutView="100" workbookViewId="0">
      <selection pane="topLeft" activeCell="A1" activeCellId="0" sqref="A1"/>
    </sheetView>
  </sheetViews>
  <sheetFormatPr defaultColWidth="9.14453125" defaultRowHeight="13.8" zeroHeight="true" outlineLevelRow="0" outlineLevelCol="0"/>
  <cols>
    <col collapsed="false" customWidth="true" hidden="false" outlineLevel="0" max="1" min="1" style="1" width="1.71"/>
    <col collapsed="false" customWidth="true" hidden="false" outlineLevel="0" max="2" min="2" style="2" width="3.14"/>
    <col collapsed="false" customWidth="false" hidden="false" outlineLevel="0" max="11" min="3" style="1" width="9.14"/>
    <col collapsed="false" customWidth="true" hidden="false" outlineLevel="0" max="12" min="12" style="1" width="13.57"/>
    <col collapsed="false" customWidth="true" hidden="false" outlineLevel="0" max="13" min="13" style="1" width="1.71"/>
    <col collapsed="false" customWidth="false" hidden="true" outlineLevel="0" max="20" min="14" style="3" width="9.14"/>
    <col collapsed="false" customWidth="true" hidden="true" outlineLevel="0" max="21" min="21" style="3" width="17.85"/>
    <col collapsed="false" customWidth="false" hidden="true" outlineLevel="0" max="64" min="22" style="3" width="9.14"/>
    <col collapsed="false" customWidth="false" hidden="true" outlineLevel="0" max="1024" min="65" style="0" width="9.14"/>
  </cols>
  <sheetData>
    <row r="1" customFormat="false" ht="51.75" hidden="false" customHeight="true" outlineLevel="0" collapsed="false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U1" s="3" t="s">
        <v>1</v>
      </c>
    </row>
    <row r="2" customFormat="false" ht="13.8" hidden="false" customHeight="false" outlineLevel="0" collapsed="false">
      <c r="U2" s="3" t="s">
        <v>2</v>
      </c>
    </row>
    <row r="3" customFormat="false" ht="13.8" hidden="false" customHeight="false" outlineLevel="0" collapsed="false">
      <c r="A3" s="5"/>
      <c r="B3" s="2" t="s">
        <v>3</v>
      </c>
      <c r="C3" s="6" t="s">
        <v>4</v>
      </c>
      <c r="D3" s="6"/>
      <c r="E3" s="6"/>
      <c r="F3" s="6"/>
      <c r="G3" s="6"/>
      <c r="H3" s="6"/>
      <c r="I3" s="6"/>
      <c r="J3" s="6"/>
      <c r="K3" s="6"/>
      <c r="L3" s="6"/>
      <c r="M3" s="5"/>
      <c r="N3" s="7"/>
      <c r="O3" s="7"/>
      <c r="P3" s="7"/>
      <c r="Q3" s="7"/>
      <c r="R3" s="7"/>
      <c r="S3" s="7"/>
      <c r="T3" s="7"/>
      <c r="U3" s="8" t="s">
        <v>5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 customFormat="false" ht="30" hidden="false" customHeight="true" outlineLevel="0" collapsed="false">
      <c r="C4" s="9" t="s">
        <v>6</v>
      </c>
      <c r="D4" s="9"/>
      <c r="E4" s="9"/>
      <c r="F4" s="9"/>
      <c r="G4" s="9"/>
      <c r="H4" s="9"/>
      <c r="I4" s="9"/>
      <c r="J4" s="9"/>
      <c r="K4" s="9"/>
      <c r="L4" s="9"/>
      <c r="U4" s="3" t="s">
        <v>7</v>
      </c>
    </row>
    <row r="5" customFormat="false" ht="14.9" hidden="false" customHeight="false" outlineLevel="0" collapsed="false">
      <c r="C5" s="10" t="s">
        <v>8</v>
      </c>
      <c r="D5" s="10"/>
      <c r="E5" s="10"/>
      <c r="F5" s="10"/>
      <c r="G5" s="10"/>
      <c r="H5" s="10"/>
      <c r="I5" s="10"/>
      <c r="J5" s="10"/>
      <c r="K5" s="10"/>
      <c r="L5" s="10"/>
      <c r="U5" s="3" t="s">
        <v>9</v>
      </c>
    </row>
    <row r="6" customFormat="false" ht="13.8" hidden="false" customHeight="false" outlineLevel="0" collapsed="false">
      <c r="U6" s="3" t="s">
        <v>10</v>
      </c>
    </row>
    <row r="7" customFormat="false" ht="13.8" hidden="false" customHeight="false" outlineLevel="0" collapsed="false">
      <c r="B7" s="2" t="s">
        <v>11</v>
      </c>
      <c r="C7" s="6" t="s">
        <v>12</v>
      </c>
      <c r="D7" s="6"/>
      <c r="E7" s="6"/>
      <c r="F7" s="6"/>
      <c r="G7" s="6"/>
      <c r="H7" s="6"/>
      <c r="I7" s="6"/>
      <c r="J7" s="6"/>
      <c r="K7" s="6"/>
      <c r="L7" s="6"/>
      <c r="U7" s="8" t="s">
        <v>13</v>
      </c>
    </row>
    <row r="8" customFormat="false" ht="30" hidden="false" customHeight="true" outlineLevel="0" collapsed="false">
      <c r="C8" s="9" t="s">
        <v>14</v>
      </c>
      <c r="D8" s="9"/>
      <c r="E8" s="9"/>
      <c r="F8" s="9"/>
      <c r="G8" s="9"/>
      <c r="H8" s="9"/>
      <c r="I8" s="9"/>
      <c r="J8" s="9"/>
      <c r="K8" s="9"/>
      <c r="L8" s="9"/>
      <c r="U8" s="3" t="s">
        <v>15</v>
      </c>
    </row>
    <row r="9" customFormat="false" ht="14.9" hidden="false" customHeight="false" outlineLevel="0" collapsed="false">
      <c r="C9" s="10" t="s">
        <v>16</v>
      </c>
      <c r="D9" s="10"/>
      <c r="E9" s="10"/>
      <c r="F9" s="10"/>
      <c r="G9" s="10"/>
      <c r="H9" s="10"/>
      <c r="I9" s="10"/>
      <c r="J9" s="10"/>
      <c r="K9" s="10"/>
      <c r="L9" s="10"/>
    </row>
    <row r="10" customFormat="false" ht="13.8" hidden="false" customHeight="false" outlineLevel="0" collapsed="false"/>
    <row r="11" customFormat="false" ht="13.8" hidden="false" customHeight="false" outlineLevel="0" collapsed="false">
      <c r="B11" s="2" t="s">
        <v>17</v>
      </c>
      <c r="C11" s="6" t="s">
        <v>18</v>
      </c>
      <c r="D11" s="6"/>
      <c r="E11" s="6"/>
      <c r="F11" s="6"/>
      <c r="G11" s="6"/>
      <c r="H11" s="6"/>
      <c r="I11" s="6"/>
      <c r="J11" s="6"/>
      <c r="K11" s="6"/>
      <c r="L11" s="6"/>
    </row>
    <row r="12" customFormat="false" ht="15" hidden="false" customHeight="true" outlineLevel="0" collapsed="false">
      <c r="C12" s="11" t="s">
        <v>2</v>
      </c>
      <c r="D12" s="11"/>
      <c r="E12" s="11"/>
      <c r="F12" s="11"/>
      <c r="G12" s="11"/>
    </row>
    <row r="13" customFormat="false" ht="13.8" hidden="false" customHeight="false" outlineLevel="0" collapsed="false"/>
    <row r="14" customFormat="false" ht="13.8" hidden="false" customHeight="false" outlineLevel="0" collapsed="false">
      <c r="B14" s="2" t="s">
        <v>19</v>
      </c>
      <c r="C14" s="6" t="s">
        <v>20</v>
      </c>
      <c r="D14" s="6"/>
      <c r="E14" s="6"/>
      <c r="F14" s="6"/>
      <c r="G14" s="6"/>
      <c r="H14" s="6"/>
      <c r="I14" s="6"/>
      <c r="J14" s="6"/>
      <c r="K14" s="6"/>
      <c r="L14" s="6"/>
    </row>
    <row r="15" customFormat="false" ht="14.9" hidden="false" customHeight="false" outlineLevel="0" collapsed="false">
      <c r="C15" s="10" t="s">
        <v>21</v>
      </c>
      <c r="D15" s="10"/>
      <c r="E15" s="10"/>
      <c r="F15" s="10"/>
      <c r="G15" s="10"/>
      <c r="H15" s="10"/>
      <c r="I15" s="10"/>
      <c r="J15" s="10"/>
    </row>
    <row r="16" customFormat="false" ht="13.8" hidden="false" customHeight="false" outlineLevel="0" collapsed="false"/>
    <row r="17" customFormat="false" ht="13.8" hidden="false" customHeight="false" outlineLevel="0" collapsed="false">
      <c r="B17" s="2" t="s">
        <v>22</v>
      </c>
      <c r="C17" s="6" t="s">
        <v>23</v>
      </c>
      <c r="D17" s="6"/>
      <c r="E17" s="6"/>
      <c r="F17" s="6"/>
      <c r="G17" s="6"/>
      <c r="H17" s="6"/>
      <c r="I17" s="6"/>
      <c r="J17" s="6"/>
      <c r="K17" s="6"/>
      <c r="L17" s="6"/>
      <c r="U17" s="8"/>
    </row>
    <row r="18" customFormat="false" ht="14.9" hidden="false" customHeight="false" outlineLevel="0" collapsed="false">
      <c r="C18" s="10" t="s">
        <v>24</v>
      </c>
      <c r="D18" s="10"/>
      <c r="E18" s="10"/>
      <c r="F18" s="10"/>
      <c r="G18" s="10"/>
      <c r="H18" s="10"/>
      <c r="I18" s="10"/>
      <c r="J18" s="10"/>
    </row>
    <row r="19" customFormat="false" ht="13.8" hidden="false" customHeight="false" outlineLevel="0" collapsed="false"/>
    <row r="20" customFormat="false" ht="13.8" hidden="false" customHeight="false" outlineLevel="0" collapsed="false">
      <c r="B20" s="2" t="s">
        <v>25</v>
      </c>
      <c r="C20" s="6" t="s">
        <v>26</v>
      </c>
      <c r="D20" s="6"/>
      <c r="E20" s="6"/>
      <c r="F20" s="6"/>
      <c r="G20" s="6"/>
      <c r="H20" s="6"/>
      <c r="I20" s="6"/>
      <c r="J20" s="6"/>
      <c r="K20" s="6"/>
      <c r="L20" s="6"/>
    </row>
    <row r="21" customFormat="false" ht="14.9" hidden="false" customHeight="false" outlineLevel="0" collapsed="false">
      <c r="C21" s="12" t="s">
        <v>27</v>
      </c>
      <c r="D21" s="12"/>
      <c r="E21" s="10" t="s">
        <v>28</v>
      </c>
      <c r="F21" s="10"/>
      <c r="G21" s="10"/>
      <c r="H21" s="10"/>
      <c r="I21" s="10"/>
      <c r="J21" s="10"/>
      <c r="K21" s="10"/>
      <c r="L21" s="10"/>
    </row>
    <row r="22" customFormat="false" ht="13.8" hidden="false" customHeight="false" outlineLevel="0" collapsed="false">
      <c r="C22" s="12"/>
      <c r="D22" s="12"/>
      <c r="E22" s="13" t="s">
        <v>29</v>
      </c>
      <c r="F22" s="13"/>
      <c r="G22" s="13"/>
      <c r="H22" s="13"/>
      <c r="I22" s="13"/>
      <c r="J22" s="13"/>
      <c r="K22" s="13"/>
      <c r="L22" s="13"/>
    </row>
    <row r="23" customFormat="false" ht="14.9" hidden="false" customHeight="false" outlineLevel="0" collapsed="false">
      <c r="C23" s="12" t="s">
        <v>30</v>
      </c>
      <c r="D23" s="12"/>
      <c r="E23" s="10" t="s">
        <v>31</v>
      </c>
      <c r="F23" s="10"/>
      <c r="G23" s="10"/>
      <c r="H23" s="10"/>
      <c r="I23" s="10"/>
      <c r="J23" s="10"/>
      <c r="K23" s="10"/>
      <c r="L23" s="10"/>
    </row>
    <row r="24" customFormat="false" ht="13.8" hidden="false" customHeight="false" outlineLevel="0" collapsed="false">
      <c r="C24" s="14"/>
      <c r="D24" s="14"/>
      <c r="E24" s="13" t="s">
        <v>32</v>
      </c>
      <c r="F24" s="13"/>
      <c r="G24" s="13"/>
      <c r="H24" s="13"/>
      <c r="I24" s="13"/>
      <c r="J24" s="13"/>
      <c r="K24" s="13"/>
      <c r="L24" s="13"/>
      <c r="U24" s="8"/>
    </row>
    <row r="25" customFormat="false" ht="14.9" hidden="false" customHeight="false" outlineLevel="0" collapsed="false">
      <c r="C25" s="12" t="s">
        <v>33</v>
      </c>
      <c r="D25" s="12"/>
      <c r="E25" s="10" t="s">
        <v>34</v>
      </c>
      <c r="F25" s="10"/>
      <c r="G25" s="10"/>
      <c r="H25" s="10"/>
      <c r="I25" s="10"/>
      <c r="J25" s="10"/>
      <c r="K25" s="10"/>
      <c r="L25" s="10"/>
      <c r="U25" s="8"/>
    </row>
    <row r="26" customFormat="false" ht="13.8" hidden="false" customHeight="false" outlineLevel="0" collapsed="false">
      <c r="C26" s="15"/>
      <c r="D26" s="15"/>
      <c r="E26" s="13" t="s">
        <v>35</v>
      </c>
      <c r="F26" s="13"/>
      <c r="G26" s="13"/>
      <c r="H26" s="13"/>
      <c r="I26" s="13"/>
      <c r="J26" s="13"/>
      <c r="K26" s="13"/>
      <c r="L26" s="13"/>
      <c r="U26" s="8"/>
    </row>
    <row r="27" customFormat="false" ht="13.8" hidden="false" customHeight="false" outlineLevel="0" collapsed="false">
      <c r="U27" s="8"/>
    </row>
    <row r="28" customFormat="false" ht="13.8" hidden="false" customHeight="false" outlineLevel="0" collapsed="false">
      <c r="B28" s="2" t="s">
        <v>36</v>
      </c>
      <c r="C28" s="16" t="s">
        <v>37</v>
      </c>
      <c r="D28" s="16"/>
      <c r="E28" s="16"/>
      <c r="F28" s="16"/>
      <c r="G28" s="16"/>
      <c r="H28" s="16"/>
      <c r="I28" s="16"/>
      <c r="J28" s="16"/>
      <c r="K28" s="16"/>
      <c r="L28" s="16"/>
      <c r="U28" s="8"/>
    </row>
    <row r="29" customFormat="false" ht="14.9" hidden="false" customHeight="false" outlineLevel="0" collapsed="false">
      <c r="C29" s="10" t="s">
        <v>38</v>
      </c>
      <c r="D29" s="10"/>
      <c r="E29" s="10"/>
      <c r="F29" s="10"/>
      <c r="G29" s="10"/>
      <c r="H29" s="10"/>
      <c r="I29" s="10"/>
      <c r="J29" s="10"/>
      <c r="K29" s="10"/>
      <c r="L29" s="10"/>
      <c r="U29" s="8"/>
    </row>
    <row r="30" customFormat="false" ht="31.5" hidden="false" customHeight="true" outlineLevel="0" collapsed="false">
      <c r="C30" s="9" t="s">
        <v>39</v>
      </c>
      <c r="D30" s="9"/>
      <c r="E30" s="9"/>
      <c r="F30" s="9"/>
      <c r="G30" s="9"/>
      <c r="H30" s="9"/>
      <c r="I30" s="9"/>
      <c r="J30" s="9"/>
      <c r="K30" s="9"/>
      <c r="L30" s="9"/>
      <c r="U30" s="8"/>
    </row>
    <row r="31" customFormat="false" ht="13.8" hidden="false" customHeight="false" outlineLevel="0" collapsed="false">
      <c r="C31" s="17"/>
      <c r="D31" s="17"/>
      <c r="E31" s="17"/>
      <c r="F31" s="17"/>
      <c r="G31" s="17"/>
      <c r="H31" s="17"/>
      <c r="I31" s="17"/>
      <c r="J31" s="17"/>
      <c r="K31" s="17"/>
      <c r="L31" s="17"/>
      <c r="U31" s="8"/>
    </row>
    <row r="32" customFormat="false" ht="30" hidden="false" customHeight="true" outlineLevel="0" collapsed="false">
      <c r="B32" s="2" t="s">
        <v>40</v>
      </c>
      <c r="C32" s="18" t="s">
        <v>41</v>
      </c>
      <c r="D32" s="18"/>
      <c r="E32" s="18"/>
      <c r="F32" s="18"/>
      <c r="G32" s="18"/>
      <c r="H32" s="18"/>
      <c r="I32" s="18"/>
      <c r="J32" s="18"/>
      <c r="K32" s="18"/>
      <c r="L32" s="18"/>
    </row>
    <row r="33" customFormat="false" ht="14.9" hidden="false" customHeight="false" outlineLevel="0" collapsed="false">
      <c r="C33" s="10" t="s">
        <v>42</v>
      </c>
      <c r="D33" s="10"/>
      <c r="E33" s="10"/>
      <c r="F33" s="10"/>
      <c r="G33" s="10"/>
      <c r="H33" s="10"/>
      <c r="I33" s="10"/>
      <c r="J33" s="10"/>
      <c r="K33" s="10"/>
      <c r="L33" s="10"/>
    </row>
    <row r="34" customFormat="false" ht="13.8" hidden="false" customHeight="false" outlineLevel="0" collapsed="false">
      <c r="C34" s="19" t="s">
        <v>43</v>
      </c>
      <c r="D34" s="19"/>
      <c r="E34" s="19"/>
      <c r="F34" s="19"/>
      <c r="G34" s="19"/>
      <c r="H34" s="19"/>
      <c r="I34" s="19"/>
      <c r="J34" s="19"/>
      <c r="K34" s="19"/>
      <c r="L34" s="19"/>
    </row>
    <row r="35" customFormat="false" ht="14.9" hidden="false" customHeight="false" outlineLevel="0" collapsed="false">
      <c r="C35" s="20" t="s">
        <v>44</v>
      </c>
      <c r="D35" s="20"/>
      <c r="E35" s="21"/>
      <c r="F35" s="21"/>
      <c r="G35" s="21"/>
      <c r="H35" s="21"/>
      <c r="I35" s="21"/>
      <c r="J35" s="21"/>
      <c r="K35" s="21"/>
      <c r="L35" s="21"/>
    </row>
    <row r="36" customFormat="false" ht="13.8" hidden="false" customHeight="false" outlineLevel="0" collapsed="false"/>
    <row r="37" customFormat="false" ht="13.8" hidden="false" customHeight="false" outlineLevel="0" collapsed="false">
      <c r="B37" s="2" t="s">
        <v>45</v>
      </c>
      <c r="C37" s="16" t="s">
        <v>46</v>
      </c>
      <c r="D37" s="16"/>
      <c r="E37" s="16"/>
      <c r="F37" s="16"/>
      <c r="G37" s="16"/>
      <c r="H37" s="16"/>
      <c r="I37" s="16"/>
      <c r="J37" s="16"/>
      <c r="K37" s="16"/>
      <c r="L37" s="16"/>
      <c r="U37" s="8"/>
    </row>
    <row r="38" customFormat="false" ht="13.8" hidden="false" customHeight="false" outlineLevel="0" collapsed="false">
      <c r="C38" s="22" t="s">
        <v>47</v>
      </c>
      <c r="D38" s="22"/>
      <c r="E38" s="22"/>
      <c r="F38" s="22"/>
      <c r="G38" s="22"/>
      <c r="H38" s="22"/>
      <c r="I38" s="22"/>
      <c r="J38" s="22"/>
      <c r="K38" s="22"/>
      <c r="L38" s="22"/>
      <c r="U38" s="8"/>
    </row>
    <row r="39" customFormat="false" ht="14.9" hidden="false" customHeight="false" outlineLevel="0" collapsed="false">
      <c r="C39" s="23" t="s">
        <v>48</v>
      </c>
      <c r="D39" s="23"/>
      <c r="E39" s="23"/>
      <c r="F39" s="23"/>
      <c r="G39" s="23"/>
      <c r="H39" s="23"/>
      <c r="I39" s="23"/>
      <c r="U39" s="8"/>
    </row>
    <row r="40" customFormat="false" ht="14.9" hidden="false" customHeight="false" outlineLevel="0" collapsed="false">
      <c r="C40" s="23" t="s">
        <v>49</v>
      </c>
      <c r="D40" s="23"/>
      <c r="E40" s="23"/>
      <c r="F40" s="23"/>
      <c r="G40" s="23"/>
      <c r="H40" s="23"/>
      <c r="I40" s="23"/>
      <c r="U40" s="8"/>
    </row>
    <row r="41" customFormat="false" ht="14.9" hidden="false" customHeight="false" outlineLevel="0" collapsed="false">
      <c r="C41" s="23" t="s">
        <v>50</v>
      </c>
      <c r="D41" s="23"/>
      <c r="E41" s="23"/>
      <c r="F41" s="23"/>
      <c r="G41" s="23"/>
      <c r="H41" s="23"/>
      <c r="I41" s="23"/>
      <c r="U41" s="8"/>
    </row>
    <row r="42" customFormat="false" ht="13.8" hidden="false" customHeight="false" outlineLevel="0" collapsed="false">
      <c r="C42" s="24"/>
      <c r="D42" s="24"/>
      <c r="E42" s="24"/>
      <c r="F42" s="24"/>
      <c r="G42" s="24"/>
      <c r="H42" s="24"/>
      <c r="I42" s="24"/>
      <c r="U42" s="8"/>
    </row>
    <row r="43" customFormat="false" ht="13.8" hidden="false" customHeight="false" outlineLevel="0" collapsed="false">
      <c r="B43" s="2" t="s">
        <v>51</v>
      </c>
      <c r="C43" s="16" t="s">
        <v>52</v>
      </c>
      <c r="D43" s="16"/>
      <c r="E43" s="16"/>
      <c r="F43" s="16"/>
      <c r="G43" s="16"/>
      <c r="H43" s="16"/>
      <c r="I43" s="16"/>
      <c r="J43" s="16"/>
      <c r="K43" s="16"/>
      <c r="L43" s="16"/>
      <c r="U43" s="8"/>
    </row>
    <row r="44" customFormat="false" ht="28.5" hidden="false" customHeight="true" outlineLevel="0" collapsed="false">
      <c r="C44" s="25" t="s">
        <v>53</v>
      </c>
      <c r="D44" s="25"/>
      <c r="E44" s="25"/>
      <c r="F44" s="25"/>
      <c r="G44" s="25"/>
      <c r="H44" s="25"/>
      <c r="I44" s="25"/>
      <c r="J44" s="25"/>
      <c r="K44" s="25"/>
      <c r="L44" s="25"/>
      <c r="U44" s="8"/>
    </row>
    <row r="45" customFormat="false" ht="14.9" hidden="false" customHeight="false" outlineLevel="0" collapsed="false">
      <c r="C45" s="23" t="s">
        <v>54</v>
      </c>
      <c r="D45" s="23"/>
      <c r="E45" s="23"/>
      <c r="F45" s="23"/>
      <c r="G45" s="23"/>
      <c r="H45" s="23"/>
      <c r="I45" s="24"/>
      <c r="U45" s="8"/>
    </row>
    <row r="46" customFormat="false" ht="14.9" hidden="false" customHeight="false" outlineLevel="0" collapsed="false">
      <c r="C46" s="23" t="s">
        <v>55</v>
      </c>
      <c r="D46" s="23"/>
      <c r="E46" s="23"/>
      <c r="F46" s="23"/>
      <c r="G46" s="23"/>
      <c r="H46" s="23"/>
      <c r="I46" s="24"/>
      <c r="U46" s="8"/>
    </row>
    <row r="47" customFormat="false" ht="13.8" hidden="false" customHeight="false" outlineLevel="0" collapsed="false">
      <c r="C47" s="26"/>
      <c r="U47" s="8"/>
    </row>
    <row r="48" customFormat="false" ht="30" hidden="false" customHeight="true" outlineLevel="0" collapsed="false">
      <c r="B48" s="27" t="s">
        <v>56</v>
      </c>
      <c r="C48" s="18" t="s">
        <v>57</v>
      </c>
      <c r="D48" s="18"/>
      <c r="E48" s="18"/>
      <c r="F48" s="18"/>
      <c r="G48" s="18"/>
      <c r="H48" s="18"/>
      <c r="I48" s="18"/>
      <c r="J48" s="18"/>
      <c r="K48" s="18"/>
      <c r="L48" s="18"/>
      <c r="U48" s="8"/>
    </row>
    <row r="49" customFormat="false" ht="13.8" hidden="false" customHeight="false" outlineLevel="0" collapsed="false">
      <c r="C49" s="22" t="s">
        <v>58</v>
      </c>
      <c r="D49" s="22"/>
      <c r="E49" s="22"/>
      <c r="F49" s="22"/>
      <c r="G49" s="22"/>
      <c r="H49" s="22"/>
      <c r="I49" s="22"/>
      <c r="J49" s="22"/>
      <c r="K49" s="22"/>
      <c r="L49" s="22"/>
      <c r="U49" s="8"/>
    </row>
    <row r="50" customFormat="false" ht="14.9" hidden="false" customHeight="false" outlineLevel="0" collapsed="false">
      <c r="C50" s="23" t="s">
        <v>59</v>
      </c>
      <c r="D50" s="23"/>
      <c r="E50" s="23"/>
      <c r="F50" s="23"/>
      <c r="G50" s="23"/>
      <c r="U50" s="8"/>
    </row>
    <row r="51" customFormat="false" ht="14.9" hidden="false" customHeight="false" outlineLevel="0" collapsed="false">
      <c r="C51" s="23" t="s">
        <v>60</v>
      </c>
      <c r="D51" s="23"/>
      <c r="E51" s="23"/>
      <c r="F51" s="23"/>
      <c r="G51" s="23"/>
      <c r="U51" s="8"/>
    </row>
    <row r="52" customFormat="false" ht="14.9" hidden="false" customHeight="false" outlineLevel="0" collapsed="false">
      <c r="C52" s="23" t="s">
        <v>61</v>
      </c>
      <c r="D52" s="23"/>
      <c r="E52" s="23"/>
      <c r="F52" s="23"/>
      <c r="G52" s="23"/>
      <c r="U52" s="8"/>
    </row>
    <row r="53" customFormat="false" ht="13.8" hidden="false" customHeight="false" outlineLevel="0" collapsed="false"/>
    <row r="54" customFormat="false" ht="13.8" hidden="false" customHeight="false" outlineLevel="0" collapsed="false">
      <c r="B54" s="2" t="s">
        <v>62</v>
      </c>
      <c r="C54" s="16" t="s">
        <v>63</v>
      </c>
      <c r="D54" s="16"/>
      <c r="E54" s="16"/>
      <c r="F54" s="16"/>
      <c r="G54" s="16"/>
      <c r="H54" s="16"/>
      <c r="I54" s="16"/>
      <c r="J54" s="16"/>
      <c r="K54" s="16"/>
      <c r="L54" s="16"/>
    </row>
    <row r="55" customFormat="false" ht="13.8" hidden="false" customHeight="false" outlineLevel="0" collapsed="false">
      <c r="C55" s="22" t="s">
        <v>64</v>
      </c>
      <c r="D55" s="22"/>
      <c r="E55" s="22"/>
      <c r="F55" s="22"/>
      <c r="G55" s="22"/>
      <c r="H55" s="22"/>
      <c r="I55" s="22"/>
      <c r="J55" s="22"/>
      <c r="K55" s="22"/>
      <c r="L55" s="22"/>
    </row>
    <row r="56" customFormat="false" ht="14.9" hidden="false" customHeight="false" outlineLevel="0" collapsed="false">
      <c r="C56" s="23" t="s">
        <v>65</v>
      </c>
      <c r="D56" s="23"/>
      <c r="E56" s="23"/>
      <c r="F56" s="23"/>
      <c r="G56" s="23"/>
      <c r="H56" s="23"/>
    </row>
    <row r="57" customFormat="false" ht="13.8" hidden="false" customHeight="false" outlineLevel="0" collapsed="false">
      <c r="C57" s="24"/>
      <c r="D57" s="24"/>
      <c r="E57" s="24"/>
      <c r="F57" s="24"/>
      <c r="G57" s="24"/>
      <c r="H57" s="24"/>
    </row>
    <row r="58" customFormat="false" ht="13.8" hidden="false" customHeight="false" outlineLevel="0" collapsed="false">
      <c r="B58" s="2" t="s">
        <v>66</v>
      </c>
      <c r="C58" s="16" t="s">
        <v>67</v>
      </c>
      <c r="D58" s="16"/>
      <c r="E58" s="16"/>
      <c r="F58" s="16"/>
      <c r="G58" s="16"/>
      <c r="H58" s="16"/>
      <c r="I58" s="16"/>
      <c r="J58" s="16"/>
      <c r="K58" s="16"/>
      <c r="L58" s="16"/>
    </row>
    <row r="59" customFormat="false" ht="13.8" hidden="false" customHeight="false" outlineLevel="0" collapsed="false">
      <c r="C59" s="22" t="s">
        <v>68</v>
      </c>
      <c r="D59" s="22"/>
      <c r="E59" s="22"/>
      <c r="F59" s="22"/>
      <c r="G59" s="22"/>
      <c r="H59" s="22"/>
      <c r="I59" s="22"/>
      <c r="J59" s="22"/>
      <c r="K59" s="22"/>
      <c r="L59" s="22"/>
    </row>
    <row r="60" customFormat="false" ht="14.9" hidden="false" customHeight="false" outlineLevel="0" collapsed="false">
      <c r="C60" s="23" t="s">
        <v>69</v>
      </c>
      <c r="D60" s="23"/>
      <c r="E60" s="23"/>
      <c r="F60" s="23"/>
      <c r="G60" s="23"/>
      <c r="H60" s="23"/>
      <c r="I60" s="23"/>
      <c r="J60" s="23"/>
    </row>
    <row r="61" customFormat="false" ht="13.8" hidden="false" customHeight="false" outlineLevel="0" collapsed="false">
      <c r="C61" s="24"/>
      <c r="D61" s="24"/>
      <c r="E61" s="24"/>
      <c r="F61" s="24"/>
      <c r="G61" s="24"/>
      <c r="H61" s="24"/>
      <c r="I61" s="24"/>
      <c r="J61" s="24"/>
    </row>
    <row r="62" customFormat="false" ht="13.8" hidden="false" customHeight="false" outlineLevel="0" collapsed="false">
      <c r="B62" s="2" t="s">
        <v>70</v>
      </c>
      <c r="C62" s="16" t="s">
        <v>71</v>
      </c>
      <c r="D62" s="16"/>
      <c r="E62" s="16"/>
      <c r="F62" s="16"/>
      <c r="G62" s="16"/>
      <c r="H62" s="16"/>
      <c r="I62" s="16"/>
      <c r="J62" s="16"/>
      <c r="K62" s="16"/>
      <c r="L62" s="16"/>
      <c r="U62" s="8"/>
    </row>
    <row r="63" customFormat="false" ht="14.9" hidden="false" customHeight="false" outlineLevel="0" collapsed="false">
      <c r="C63" s="10" t="s">
        <v>72</v>
      </c>
      <c r="D63" s="10"/>
      <c r="E63" s="10"/>
      <c r="F63" s="10"/>
      <c r="G63" s="10"/>
      <c r="H63" s="10"/>
      <c r="I63" s="10"/>
      <c r="J63" s="10"/>
      <c r="K63" s="10"/>
      <c r="L63" s="10"/>
      <c r="U63" s="8"/>
    </row>
    <row r="64" customFormat="false" ht="13.8" hidden="false" customHeight="false" outlineLevel="0" collapsed="false"/>
    <row r="65" customFormat="false" ht="13.8" hidden="false" customHeight="false" outlineLevel="0" collapsed="false">
      <c r="B65" s="2" t="s">
        <v>73</v>
      </c>
      <c r="C65" s="16" t="s">
        <v>74</v>
      </c>
      <c r="D65" s="16"/>
      <c r="E65" s="16"/>
      <c r="F65" s="16"/>
      <c r="G65" s="16"/>
      <c r="H65" s="16"/>
      <c r="I65" s="16"/>
      <c r="J65" s="16"/>
      <c r="K65" s="16"/>
      <c r="L65" s="16"/>
    </row>
    <row r="66" customFormat="false" ht="30" hidden="false" customHeight="true" outlineLevel="0" collapsed="false">
      <c r="C66" s="25" t="s">
        <v>75</v>
      </c>
      <c r="D66" s="25"/>
      <c r="E66" s="25"/>
      <c r="F66" s="25"/>
      <c r="G66" s="25"/>
      <c r="H66" s="25"/>
      <c r="I66" s="25"/>
      <c r="J66" s="25"/>
      <c r="K66" s="25"/>
      <c r="L66" s="25"/>
    </row>
    <row r="67" customFormat="false" ht="14.9" hidden="false" customHeight="false" outlineLevel="0" collapsed="false">
      <c r="C67" s="23" t="s">
        <v>76</v>
      </c>
      <c r="D67" s="23"/>
      <c r="E67" s="23"/>
      <c r="F67" s="23"/>
      <c r="G67" s="23"/>
    </row>
    <row r="68" customFormat="false" ht="13.8" hidden="false" customHeight="false" outlineLevel="0" collapsed="false"/>
    <row r="69" customFormat="false" ht="13.8" hidden="false" customHeight="false" outlineLevel="0" collapsed="false">
      <c r="B69" s="2" t="s">
        <v>77</v>
      </c>
      <c r="C69" s="16" t="s">
        <v>78</v>
      </c>
      <c r="D69" s="16"/>
      <c r="E69" s="16"/>
      <c r="F69" s="16"/>
      <c r="G69" s="16"/>
      <c r="H69" s="16"/>
      <c r="I69" s="16"/>
      <c r="J69" s="16"/>
      <c r="K69" s="16"/>
      <c r="L69" s="16"/>
    </row>
    <row r="70" customFormat="false" ht="14.9" hidden="false" customHeight="false" outlineLevel="0" collapsed="false">
      <c r="C70" s="10" t="s">
        <v>79</v>
      </c>
      <c r="D70" s="10"/>
      <c r="E70" s="10"/>
      <c r="F70" s="10"/>
      <c r="G70" s="10"/>
      <c r="H70" s="10"/>
      <c r="I70" s="10"/>
      <c r="J70" s="10"/>
      <c r="K70" s="10"/>
      <c r="L70" s="10"/>
    </row>
    <row r="71" customFormat="false" ht="13.8" hidden="false" customHeight="false" outlineLevel="0" collapsed="false">
      <c r="C71" s="22" t="s">
        <v>80</v>
      </c>
      <c r="D71" s="22"/>
      <c r="E71" s="22"/>
      <c r="F71" s="22"/>
      <c r="G71" s="22"/>
      <c r="H71" s="22"/>
      <c r="I71" s="22"/>
      <c r="J71" s="22"/>
      <c r="K71" s="22"/>
      <c r="L71" s="22"/>
    </row>
    <row r="72" customFormat="false" ht="14.9" hidden="false" customHeight="false" outlineLevel="0" collapsed="false">
      <c r="C72" s="23" t="s">
        <v>81</v>
      </c>
      <c r="D72" s="23"/>
      <c r="E72" s="23"/>
      <c r="F72" s="23"/>
      <c r="G72" s="23"/>
      <c r="H72" s="23"/>
    </row>
    <row r="73" customFormat="false" ht="13.8" hidden="false" customHeight="false" outlineLevel="0" collapsed="false">
      <c r="C73" s="22" t="s">
        <v>82</v>
      </c>
      <c r="D73" s="22"/>
      <c r="E73" s="22"/>
      <c r="F73" s="22"/>
      <c r="G73" s="22"/>
      <c r="H73" s="22"/>
      <c r="I73" s="22"/>
      <c r="J73" s="22"/>
      <c r="K73" s="22"/>
      <c r="L73" s="22"/>
    </row>
    <row r="74" customFormat="false" ht="14.9" hidden="false" customHeight="false" outlineLevel="0" collapsed="false">
      <c r="C74" s="23" t="s">
        <v>83</v>
      </c>
      <c r="D74" s="23"/>
      <c r="E74" s="23"/>
      <c r="F74" s="23"/>
      <c r="G74" s="23"/>
    </row>
    <row r="75" customFormat="false" ht="13.8" hidden="false" customHeight="false" outlineLevel="0" collapsed="false">
      <c r="C75" s="24"/>
      <c r="D75" s="24"/>
      <c r="E75" s="24"/>
      <c r="F75" s="24"/>
      <c r="G75" s="24"/>
    </row>
    <row r="76" customFormat="false" ht="13.8" hidden="false" customHeight="false" outlineLevel="0" collapsed="false">
      <c r="B76" s="2" t="s">
        <v>84</v>
      </c>
      <c r="C76" s="16" t="s">
        <v>85</v>
      </c>
      <c r="D76" s="16"/>
      <c r="E76" s="16"/>
      <c r="F76" s="16"/>
      <c r="G76" s="16"/>
      <c r="H76" s="16"/>
      <c r="I76" s="16"/>
      <c r="J76" s="16"/>
      <c r="K76" s="16"/>
      <c r="L76" s="16"/>
    </row>
    <row r="77" customFormat="false" ht="13.8" hidden="false" customHeight="false" outlineLevel="0" collapsed="false">
      <c r="C77" s="22" t="s">
        <v>86</v>
      </c>
      <c r="D77" s="22"/>
      <c r="E77" s="22"/>
      <c r="F77" s="22"/>
      <c r="G77" s="22"/>
      <c r="H77" s="22"/>
      <c r="I77" s="22"/>
      <c r="J77" s="22"/>
      <c r="K77" s="22"/>
      <c r="L77" s="22"/>
    </row>
    <row r="78" customFormat="false" ht="66.75" hidden="false" customHeight="true" outlineLevel="0" collapsed="false">
      <c r="C78" s="28" t="s">
        <v>87</v>
      </c>
      <c r="D78" s="28"/>
      <c r="E78" s="28"/>
      <c r="F78" s="28"/>
      <c r="H78" s="29" t="s">
        <v>88</v>
      </c>
      <c r="I78" s="29"/>
      <c r="J78" s="29"/>
      <c r="K78" s="29"/>
      <c r="L78" s="29"/>
      <c r="M78" s="29"/>
    </row>
    <row r="79" customFormat="false" ht="13.8" hidden="false" customHeight="false" outlineLevel="0" collapsed="false">
      <c r="C79" s="30"/>
      <c r="D79" s="30"/>
      <c r="E79" s="30"/>
      <c r="F79" s="30"/>
      <c r="H79" s="31"/>
      <c r="I79" s="31"/>
      <c r="J79" s="31"/>
      <c r="K79" s="31"/>
      <c r="L79" s="31"/>
      <c r="M79" s="31"/>
    </row>
    <row r="80" customFormat="false" ht="66.75" hidden="false" customHeight="true" outlineLevel="0" collapsed="false">
      <c r="C80" s="28" t="s">
        <v>89</v>
      </c>
      <c r="D80" s="28"/>
      <c r="E80" s="28"/>
      <c r="F80" s="28"/>
      <c r="G80" s="28"/>
      <c r="H80" s="29" t="s">
        <v>90</v>
      </c>
      <c r="I80" s="29"/>
      <c r="J80" s="29"/>
      <c r="K80" s="29"/>
      <c r="L80" s="29"/>
      <c r="M80" s="29"/>
    </row>
    <row r="81" customFormat="false" ht="13.8" hidden="false" customHeight="false" outlineLevel="0" collapsed="false"/>
    <row r="82" customFormat="false" ht="13.8" hidden="false" customHeight="false" outlineLevel="0" collapsed="false">
      <c r="B82" s="2" t="s">
        <v>91</v>
      </c>
      <c r="C82" s="16" t="s">
        <v>92</v>
      </c>
      <c r="D82" s="16"/>
      <c r="E82" s="16"/>
      <c r="F82" s="16"/>
      <c r="G82" s="16"/>
      <c r="H82" s="16"/>
      <c r="I82" s="16"/>
      <c r="J82" s="16"/>
      <c r="K82" s="16"/>
      <c r="L82" s="16"/>
    </row>
    <row r="83" customFormat="false" ht="13.8" hidden="false" customHeight="false" outlineLevel="0" collapsed="false">
      <c r="C83" s="22" t="s">
        <v>93</v>
      </c>
      <c r="D83" s="22"/>
      <c r="E83" s="22"/>
      <c r="F83" s="22"/>
      <c r="G83" s="22"/>
      <c r="H83" s="22"/>
      <c r="I83" s="22"/>
      <c r="J83" s="22"/>
      <c r="K83" s="22"/>
      <c r="L83" s="22"/>
    </row>
    <row r="84" customFormat="false" ht="14.9" hidden="false" customHeight="false" outlineLevel="0" collapsed="false">
      <c r="C84" s="23" t="s">
        <v>94</v>
      </c>
      <c r="D84" s="23"/>
      <c r="E84" s="23"/>
      <c r="F84" s="23"/>
    </row>
    <row r="85" customFormat="false" ht="13.8" hidden="false" customHeight="false" outlineLevel="0" collapsed="false"/>
    <row r="86" customFormat="false" ht="13.8" hidden="false" customHeight="false" outlineLevel="0" collapsed="false">
      <c r="B86" s="2" t="s">
        <v>95</v>
      </c>
      <c r="C86" s="16" t="s">
        <v>96</v>
      </c>
      <c r="D86" s="16"/>
      <c r="E86" s="16"/>
      <c r="F86" s="16"/>
      <c r="G86" s="16"/>
      <c r="H86" s="16"/>
      <c r="I86" s="16"/>
      <c r="J86" s="16"/>
      <c r="K86" s="16"/>
      <c r="L86" s="16"/>
    </row>
    <row r="87" customFormat="false" ht="13.8" hidden="false" customHeight="false" outlineLevel="0" collapsed="false">
      <c r="C87" s="22" t="s">
        <v>97</v>
      </c>
      <c r="D87" s="22"/>
      <c r="E87" s="22"/>
      <c r="F87" s="22"/>
      <c r="G87" s="22"/>
      <c r="H87" s="22"/>
      <c r="I87" s="22"/>
      <c r="J87" s="22"/>
      <c r="K87" s="22"/>
      <c r="L87" s="22"/>
    </row>
    <row r="88" customFormat="false" ht="14.9" hidden="false" customHeight="false" outlineLevel="0" collapsed="false">
      <c r="C88" s="23" t="s">
        <v>98</v>
      </c>
      <c r="D88" s="23"/>
      <c r="E88" s="23"/>
      <c r="F88" s="23"/>
    </row>
    <row r="89" customFormat="false" ht="14.9" hidden="false" customHeight="false" outlineLevel="0" collapsed="false">
      <c r="C89" s="23" t="s">
        <v>99</v>
      </c>
      <c r="D89" s="23"/>
      <c r="E89" s="23"/>
      <c r="F89" s="23"/>
    </row>
    <row r="90" customFormat="false" ht="13.8" hidden="false" customHeight="false" outlineLevel="0" collapsed="false"/>
    <row r="91" customFormat="false" ht="13.8" hidden="false" customHeight="false" outlineLevel="0" collapsed="false">
      <c r="B91" s="2" t="s">
        <v>100</v>
      </c>
      <c r="C91" s="16" t="s">
        <v>101</v>
      </c>
      <c r="D91" s="16"/>
      <c r="E91" s="16"/>
      <c r="F91" s="16"/>
      <c r="G91" s="16"/>
      <c r="H91" s="16"/>
      <c r="I91" s="16"/>
      <c r="J91" s="16"/>
      <c r="K91" s="16"/>
      <c r="L91" s="16"/>
    </row>
    <row r="92" customFormat="false" ht="13.8" hidden="false" customHeight="false" outlineLevel="0" collapsed="false">
      <c r="C92" s="22" t="s">
        <v>102</v>
      </c>
      <c r="D92" s="22"/>
      <c r="E92" s="22"/>
      <c r="F92" s="22"/>
      <c r="G92" s="22"/>
      <c r="H92" s="22"/>
      <c r="I92" s="22"/>
      <c r="J92" s="22"/>
      <c r="K92" s="22"/>
      <c r="L92" s="22"/>
    </row>
    <row r="93" customFormat="false" ht="14.9" hidden="false" customHeight="false" outlineLevel="0" collapsed="false">
      <c r="C93" s="23" t="s">
        <v>103</v>
      </c>
      <c r="D93" s="23"/>
      <c r="E93" s="23"/>
      <c r="F93" s="23"/>
    </row>
    <row r="94" customFormat="false" ht="13.8" hidden="false" customHeight="false" outlineLevel="0" collapsed="false"/>
    <row r="95" customFormat="false" ht="30.75" hidden="false" customHeight="true" outlineLevel="0" collapsed="false">
      <c r="B95" s="2" t="s">
        <v>104</v>
      </c>
      <c r="C95" s="18" t="s">
        <v>105</v>
      </c>
      <c r="D95" s="18"/>
      <c r="E95" s="18"/>
      <c r="F95" s="18"/>
      <c r="G95" s="18"/>
      <c r="H95" s="18"/>
      <c r="I95" s="18"/>
      <c r="J95" s="18"/>
      <c r="K95" s="18"/>
      <c r="L95" s="18"/>
    </row>
    <row r="96" customFormat="false" ht="14.9" hidden="false" customHeight="false" outlineLevel="0" collapsed="false">
      <c r="C96" s="32" t="s">
        <v>106</v>
      </c>
      <c r="D96" s="32"/>
    </row>
    <row r="97" customFormat="false" ht="13.8" hidden="false" customHeight="false" outlineLevel="0" collapsed="false"/>
    <row r="98" customFormat="false" ht="13.8" hidden="false" customHeight="false" outlineLevel="0" collapsed="false">
      <c r="B98" s="2" t="s">
        <v>107</v>
      </c>
      <c r="C98" s="16" t="s">
        <v>108</v>
      </c>
      <c r="D98" s="16"/>
      <c r="E98" s="16"/>
      <c r="F98" s="16"/>
      <c r="G98" s="16"/>
      <c r="H98" s="16"/>
      <c r="I98" s="16"/>
      <c r="J98" s="16"/>
      <c r="K98" s="16"/>
      <c r="L98" s="16"/>
    </row>
    <row r="99" customFormat="false" ht="14.9" hidden="false" customHeight="false" outlineLevel="0" collapsed="false">
      <c r="C99" s="32" t="s">
        <v>109</v>
      </c>
      <c r="D99" s="32"/>
    </row>
    <row r="100" customFormat="false" ht="13.8" hidden="false" customHeight="false" outlineLevel="0" collapsed="false">
      <c r="C100" s="33"/>
      <c r="D100" s="33"/>
    </row>
    <row r="101" customFormat="false" ht="13.8" hidden="false" customHeight="false" outlineLevel="0" collapsed="false">
      <c r="B101" s="2" t="s">
        <v>110</v>
      </c>
      <c r="C101" s="16" t="s">
        <v>111</v>
      </c>
      <c r="D101" s="16"/>
      <c r="E101" s="16"/>
      <c r="F101" s="16"/>
      <c r="G101" s="16"/>
      <c r="H101" s="16"/>
      <c r="I101" s="16"/>
      <c r="J101" s="16"/>
      <c r="K101" s="16"/>
      <c r="L101" s="16"/>
    </row>
    <row r="102" customFormat="false" ht="13.8" hidden="false" customHeight="false" outlineLevel="0" collapsed="false">
      <c r="C102" s="22" t="s">
        <v>112</v>
      </c>
      <c r="D102" s="22"/>
      <c r="E102" s="22"/>
      <c r="F102" s="22"/>
      <c r="G102" s="22"/>
      <c r="H102" s="22"/>
      <c r="I102" s="22"/>
      <c r="J102" s="22"/>
      <c r="K102" s="22"/>
      <c r="L102" s="22"/>
    </row>
    <row r="103" customFormat="false" ht="14.9" hidden="false" customHeight="false" outlineLevel="0" collapsed="false">
      <c r="C103" s="23" t="s">
        <v>113</v>
      </c>
      <c r="D103" s="23"/>
      <c r="E103" s="23"/>
      <c r="F103" s="5"/>
      <c r="G103" s="5"/>
      <c r="H103" s="5"/>
      <c r="I103" s="5"/>
      <c r="J103" s="5"/>
      <c r="K103" s="5"/>
      <c r="L103" s="5"/>
    </row>
    <row r="104" customFormat="false" ht="13.8" hidden="false" customHeight="false" outlineLevel="0" collapsed="false"/>
    <row r="105" customFormat="false" ht="22.35" hidden="false" customHeight="false" outlineLevel="0" collapsed="false">
      <c r="B105" s="34" t="s">
        <v>114</v>
      </c>
      <c r="C105" s="34"/>
      <c r="D105" s="34"/>
      <c r="E105" s="34"/>
      <c r="F105" s="34"/>
      <c r="G105" s="34"/>
      <c r="H105" s="34"/>
      <c r="I105" s="34"/>
      <c r="J105" s="34"/>
      <c r="K105" s="34"/>
      <c r="L105" s="34"/>
    </row>
    <row r="106" customFormat="false" ht="9" hidden="false" customHeight="true" outlineLevel="0" collapsed="false"/>
  </sheetData>
  <mergeCells count="86">
    <mergeCell ref="B1:L1"/>
    <mergeCell ref="C3:L3"/>
    <mergeCell ref="C4:L4"/>
    <mergeCell ref="C5:L5"/>
    <mergeCell ref="C7:L7"/>
    <mergeCell ref="C8:L8"/>
    <mergeCell ref="C9:L9"/>
    <mergeCell ref="C11:L11"/>
    <mergeCell ref="C12:G12"/>
    <mergeCell ref="C14:L14"/>
    <mergeCell ref="C15:J15"/>
    <mergeCell ref="C17:L17"/>
    <mergeCell ref="C18:J18"/>
    <mergeCell ref="C20:L20"/>
    <mergeCell ref="C21:D21"/>
    <mergeCell ref="E21:L21"/>
    <mergeCell ref="C22:D22"/>
    <mergeCell ref="E22:L22"/>
    <mergeCell ref="C23:D23"/>
    <mergeCell ref="E23:L23"/>
    <mergeCell ref="E24:L24"/>
    <mergeCell ref="C25:D25"/>
    <mergeCell ref="E25:L25"/>
    <mergeCell ref="E26:L26"/>
    <mergeCell ref="C28:L28"/>
    <mergeCell ref="C29:L29"/>
    <mergeCell ref="C30:L30"/>
    <mergeCell ref="C32:L32"/>
    <mergeCell ref="C33:L33"/>
    <mergeCell ref="C34:L34"/>
    <mergeCell ref="C35:D35"/>
    <mergeCell ref="C37:L37"/>
    <mergeCell ref="C38:L38"/>
    <mergeCell ref="C39:I39"/>
    <mergeCell ref="C40:I40"/>
    <mergeCell ref="C41:I41"/>
    <mergeCell ref="C43:L43"/>
    <mergeCell ref="C44:L44"/>
    <mergeCell ref="C45:H45"/>
    <mergeCell ref="C46:H46"/>
    <mergeCell ref="C48:L48"/>
    <mergeCell ref="C49:L49"/>
    <mergeCell ref="C50:G50"/>
    <mergeCell ref="C51:G51"/>
    <mergeCell ref="C52:G52"/>
    <mergeCell ref="C54:L54"/>
    <mergeCell ref="C55:L55"/>
    <mergeCell ref="C56:H56"/>
    <mergeCell ref="C58:L58"/>
    <mergeCell ref="C59:L59"/>
    <mergeCell ref="C60:J60"/>
    <mergeCell ref="C62:L62"/>
    <mergeCell ref="C63:L63"/>
    <mergeCell ref="C65:L65"/>
    <mergeCell ref="C66:L66"/>
    <mergeCell ref="C67:G67"/>
    <mergeCell ref="C69:L69"/>
    <mergeCell ref="C70:L70"/>
    <mergeCell ref="C71:L71"/>
    <mergeCell ref="C72:H72"/>
    <mergeCell ref="C73:L73"/>
    <mergeCell ref="C74:G74"/>
    <mergeCell ref="C76:L76"/>
    <mergeCell ref="C77:L77"/>
    <mergeCell ref="C78:F78"/>
    <mergeCell ref="H78:M78"/>
    <mergeCell ref="C80:G80"/>
    <mergeCell ref="H80:M80"/>
    <mergeCell ref="C82:L82"/>
    <mergeCell ref="C83:L83"/>
    <mergeCell ref="C84:F84"/>
    <mergeCell ref="C86:L86"/>
    <mergeCell ref="C87:L87"/>
    <mergeCell ref="C88:F88"/>
    <mergeCell ref="C89:F89"/>
    <mergeCell ref="C91:L91"/>
    <mergeCell ref="C92:L92"/>
    <mergeCell ref="C93:F93"/>
    <mergeCell ref="C95:L95"/>
    <mergeCell ref="C96:D96"/>
    <mergeCell ref="C98:L98"/>
    <mergeCell ref="C99:D99"/>
    <mergeCell ref="C101:L101"/>
    <mergeCell ref="C102:L102"/>
    <mergeCell ref="C103:E103"/>
    <mergeCell ref="B105:L105"/>
  </mergeCells>
  <conditionalFormatting sqref="C5">
    <cfRule type="cellIs" priority="2" operator="greaterThan" aboveAverage="0" equalAverage="0" bottom="0" percent="0" rank="0" text="" dxfId="0">
      <formula>0</formula>
    </cfRule>
  </conditionalFormatting>
  <conditionalFormatting sqref="C15">
    <cfRule type="cellIs" priority="3" operator="greaterThan" aboveAverage="0" equalAverage="0" bottom="0" percent="0" rank="0" text="" dxfId="1">
      <formula>0</formula>
    </cfRule>
  </conditionalFormatting>
  <conditionalFormatting sqref="C18">
    <cfRule type="cellIs" priority="4" operator="greaterThan" aboveAverage="0" equalAverage="0" bottom="0" percent="0" rank="0" text="" dxfId="2">
      <formula>0</formula>
    </cfRule>
  </conditionalFormatting>
  <conditionalFormatting sqref="C9">
    <cfRule type="cellIs" priority="5" operator="greaterThan" aboveAverage="0" equalAverage="0" bottom="0" percent="0" rank="0" text="" dxfId="3">
      <formula>0</formula>
    </cfRule>
  </conditionalFormatting>
  <conditionalFormatting sqref="C63">
    <cfRule type="cellIs" priority="6" operator="greaterThan" aboveAverage="0" equalAverage="0" bottom="0" percent="0" rank="0" text="" dxfId="4">
      <formula>0</formula>
    </cfRule>
  </conditionalFormatting>
  <conditionalFormatting sqref="E21:L21">
    <cfRule type="cellIs" priority="7" operator="greaterThan" aboveAverage="0" equalAverage="0" bottom="0" percent="0" rank="0" text="" dxfId="5">
      <formula>0</formula>
    </cfRule>
  </conditionalFormatting>
  <conditionalFormatting sqref="E23:L23">
    <cfRule type="cellIs" priority="8" operator="greaterThan" aboveAverage="0" equalAverage="0" bottom="0" percent="0" rank="0" text="" dxfId="6">
      <formula>0</formula>
    </cfRule>
  </conditionalFormatting>
  <conditionalFormatting sqref="E25:L25">
    <cfRule type="cellIs" priority="9" operator="greaterThan" aboveAverage="0" equalAverage="0" bottom="0" percent="0" rank="0" text="" dxfId="7">
      <formula>0</formula>
    </cfRule>
  </conditionalFormatting>
  <conditionalFormatting sqref="C29">
    <cfRule type="cellIs" priority="10" operator="greaterThan" aboveAverage="0" equalAverage="0" bottom="0" percent="0" rank="0" text="" dxfId="8">
      <formula>0</formula>
    </cfRule>
  </conditionalFormatting>
  <conditionalFormatting sqref="C12">
    <cfRule type="cellIs" priority="11" operator="greaterThan" aboveAverage="0" equalAverage="0" bottom="0" percent="0" rank="0" text="" dxfId="9">
      <formula>0</formula>
    </cfRule>
  </conditionalFormatting>
  <conditionalFormatting sqref="C33">
    <cfRule type="cellIs" priority="12" operator="greaterThan" aboveAverage="0" equalAverage="0" bottom="0" percent="0" rank="0" text="" dxfId="10">
      <formula>0</formula>
    </cfRule>
  </conditionalFormatting>
  <conditionalFormatting sqref="C96">
    <cfRule type="cellIs" priority="13" operator="greaterThan" aboveAverage="0" equalAverage="0" bottom="0" percent="0" rank="0" text="" dxfId="11">
      <formula>0</formula>
    </cfRule>
  </conditionalFormatting>
  <conditionalFormatting sqref="C99:C100">
    <cfRule type="cellIs" priority="14" operator="greaterThan" aboveAverage="0" equalAverage="0" bottom="0" percent="0" rank="0" text="" dxfId="12">
      <formula>0</formula>
    </cfRule>
  </conditionalFormatting>
  <conditionalFormatting sqref="C70">
    <cfRule type="cellIs" priority="15" operator="greaterThan" aboveAverage="0" equalAverage="0" bottom="0" percent="0" rank="0" text="" dxfId="13">
      <formula>0</formula>
    </cfRule>
  </conditionalFormatting>
  <dataValidations count="1">
    <dataValidation allowBlank="true" operator="equal" showDropDown="false" showErrorMessage="true" showInputMessage="true" sqref="C12" type="list">
      <formula1>$U$2:$U$8</formula1>
      <formula2>0</formula2>
    </dataValidation>
  </dataValidations>
  <hyperlinks>
    <hyperlink ref="C35" location="Анализ!D10" display="График работы"/>
    <hyperlink ref="C39" location="Анализ!D6" display="Денежная единица, используемая при анализе данной бизнес-идеи"/>
    <hyperlink ref="C40" location="Анализ!D16" display="Потребность в первоначальном финансировании"/>
    <hyperlink ref="C41" location="'Кредитный калькулятор'!A1" display="Кредитный калькулятор для анализа условий кредитования"/>
    <hyperlink ref="C45" location="Анализ!B28" display="Приобретение необходимого оборудования"/>
    <hyperlink ref="C46" location="Анализ!B64" display="Прочие необходимые для запуска бизнеса затраты"/>
    <hyperlink ref="C50" location="Персонал!A1" display="Организационная структура компании"/>
    <hyperlink ref="C51" location="Персонал!F31" display="Функциональные обязанности персонала"/>
    <hyperlink ref="C52" location="'График выходов'!G7" display="График выходов персонала"/>
    <hyperlink ref="C56" location="Поставщики!A1" display="Анализ поставщиков (сильные и слабые стороны)"/>
    <hyperlink ref="C60" location="Конкуренция!A1" display="Анализ конкурентов (сильные и слабые стороны, цена продукции/услуг)"/>
    <hyperlink ref="C67" location="Анализ!C94" display="Постоянные ежемесячные затраты (налоги)"/>
    <hyperlink ref="C72" location="Анализ!B64" display="Единоразовые затраты на страхование при старте"/>
    <hyperlink ref="C74" location="Анализ!B94" display="Ежемесячные затраты на страхование"/>
    <hyperlink ref="C78" location="Анализ!B94" display="Постоянные ежемесячные затраты"/>
    <hyperlink ref="C80" location="'План анализа'!D92" display="Переменные затраты на единицу продукции"/>
    <hyperlink ref="C84" location="Маркетинг!D3" display="Потенциальный потребитель"/>
    <hyperlink ref="C88" location="Маркетинг!E25" display="Стратегия"/>
    <hyperlink ref="C89" location="Маркетинг!F35" display="Реклама"/>
    <hyperlink ref="C93" location="Маркетинг!F40" display="Продвижение продукции на рынке"/>
    <hyperlink ref="C103" location="'График реализации'!A1" display="График реализации"/>
    <hyperlink ref="B105" location="Анализ!A1" display="Перейти к анализу бизнес-идеи"/>
  </hyperlinks>
  <printOptions headings="false" gridLines="false" gridLinesSet="true" horizontalCentered="true" verticalCentered="false"/>
  <pageMargins left="0" right="0" top="0" bottom="0" header="0.511805555555555" footer="0.511805555555555"/>
  <pageSetup paperSize="9" scale="9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7" man="true" max="16383" min="0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0"/>
  <sheetViews>
    <sheetView showFormulas="false" showGridLines="true" showRowColHeaders="true" showZeros="fals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2" min="2" style="0" width="27.29"/>
    <col collapsed="false" customWidth="true" hidden="false" outlineLevel="0" max="3" min="3" style="0" width="8"/>
    <col collapsed="false" customWidth="true" hidden="false" outlineLevel="0" max="4" min="4" style="0" width="7.28"/>
    <col collapsed="false" customWidth="true" hidden="false" outlineLevel="0" max="5" min="5" style="0" width="10.28"/>
    <col collapsed="false" customWidth="true" hidden="false" outlineLevel="0" max="6" min="6" style="0" width="15.43"/>
    <col collapsed="false" customWidth="true" hidden="false" outlineLevel="0" max="7" min="7" style="0" width="23.72"/>
    <col collapsed="false" customWidth="true" hidden="false" outlineLevel="0" max="8" min="8" style="0" width="29.29"/>
  </cols>
  <sheetData>
    <row r="1" customFormat="false" ht="24.45" hidden="false" customHeight="false" outlineLevel="0" collapsed="false">
      <c r="A1" s="649" t="s">
        <v>488</v>
      </c>
      <c r="B1" s="649"/>
      <c r="C1" s="649"/>
      <c r="D1" s="649"/>
      <c r="E1" s="649"/>
      <c r="F1" s="649"/>
      <c r="G1" s="649"/>
      <c r="H1" s="649"/>
    </row>
    <row r="3" s="651" customFormat="true" ht="30" hidden="false" customHeight="true" outlineLevel="0" collapsed="false">
      <c r="A3" s="127" t="s">
        <v>489</v>
      </c>
      <c r="B3" s="128" t="s">
        <v>490</v>
      </c>
      <c r="C3" s="128" t="s">
        <v>491</v>
      </c>
      <c r="D3" s="128" t="s">
        <v>492</v>
      </c>
      <c r="E3" s="128" t="s">
        <v>493</v>
      </c>
      <c r="F3" s="128" t="s">
        <v>494</v>
      </c>
      <c r="G3" s="128" t="s">
        <v>495</v>
      </c>
      <c r="H3" s="650" t="s">
        <v>496</v>
      </c>
    </row>
    <row r="4" customFormat="false" ht="13.8" hidden="false" customHeight="false" outlineLevel="0" collapsed="false">
      <c r="A4" s="652" t="s">
        <v>497</v>
      </c>
      <c r="B4" s="653" t="s">
        <v>498</v>
      </c>
      <c r="C4" s="654" t="s">
        <v>499</v>
      </c>
      <c r="D4" s="655" t="n">
        <v>0.35</v>
      </c>
      <c r="E4" s="655"/>
      <c r="F4" s="655" t="n">
        <v>6.27</v>
      </c>
      <c r="G4" s="654"/>
      <c r="H4" s="656"/>
    </row>
    <row r="5" customFormat="false" ht="13.8" hidden="false" customHeight="false" outlineLevel="0" collapsed="false">
      <c r="A5" s="652"/>
      <c r="B5" s="657" t="s">
        <v>500</v>
      </c>
      <c r="C5" s="658" t="s">
        <v>499</v>
      </c>
      <c r="D5" s="659" t="n">
        <v>0.03</v>
      </c>
      <c r="E5" s="659"/>
      <c r="F5" s="659" t="n">
        <v>1.7</v>
      </c>
      <c r="G5" s="658"/>
      <c r="H5" s="660"/>
    </row>
    <row r="6" customFormat="false" ht="13.8" hidden="false" customHeight="false" outlineLevel="0" collapsed="false">
      <c r="A6" s="652"/>
      <c r="B6" s="657" t="s">
        <v>501</v>
      </c>
      <c r="C6" s="658" t="s">
        <v>499</v>
      </c>
      <c r="D6" s="659" t="n">
        <v>0.07</v>
      </c>
      <c r="E6" s="659" t="n">
        <v>250</v>
      </c>
      <c r="F6" s="659" t="n">
        <f aca="false">E6*D6</f>
        <v>17.5</v>
      </c>
      <c r="G6" s="658"/>
      <c r="H6" s="660"/>
    </row>
    <row r="7" customFormat="false" ht="13.8" hidden="false" customHeight="false" outlineLevel="0" collapsed="false">
      <c r="A7" s="652"/>
      <c r="B7" s="657" t="s">
        <v>502</v>
      </c>
      <c r="C7" s="658" t="s">
        <v>499</v>
      </c>
      <c r="D7" s="659" t="n">
        <v>0.07</v>
      </c>
      <c r="E7" s="659" t="n">
        <v>15</v>
      </c>
      <c r="F7" s="659" t="n">
        <f aca="false">E7*D7</f>
        <v>1.05</v>
      </c>
      <c r="G7" s="658"/>
      <c r="H7" s="660"/>
    </row>
    <row r="8" customFormat="false" ht="13.8" hidden="false" customHeight="false" outlineLevel="0" collapsed="false">
      <c r="A8" s="652"/>
      <c r="B8" s="657" t="s">
        <v>503</v>
      </c>
      <c r="C8" s="658" t="s">
        <v>499</v>
      </c>
      <c r="D8" s="659" t="n">
        <v>0.07</v>
      </c>
      <c r="E8" s="659" t="n">
        <v>150</v>
      </c>
      <c r="F8" s="659" t="n">
        <f aca="false">E8*D8</f>
        <v>10.5</v>
      </c>
      <c r="G8" s="658"/>
      <c r="H8" s="660"/>
    </row>
    <row r="9" customFormat="false" ht="13.8" hidden="false" customHeight="false" outlineLevel="0" collapsed="false">
      <c r="A9" s="652"/>
      <c r="B9" s="657" t="s">
        <v>504</v>
      </c>
      <c r="C9" s="658" t="s">
        <v>499</v>
      </c>
      <c r="D9" s="659" t="n">
        <v>0.01</v>
      </c>
      <c r="E9" s="659" t="n">
        <v>300</v>
      </c>
      <c r="F9" s="659" t="n">
        <f aca="false">E9*D9</f>
        <v>3</v>
      </c>
      <c r="G9" s="658"/>
      <c r="H9" s="660"/>
    </row>
    <row r="10" customFormat="false" ht="13.8" hidden="false" customHeight="false" outlineLevel="0" collapsed="false">
      <c r="A10" s="652"/>
      <c r="B10" s="661"/>
      <c r="C10" s="662"/>
      <c r="D10" s="663"/>
      <c r="E10" s="663"/>
      <c r="F10" s="663"/>
      <c r="G10" s="662"/>
      <c r="H10" s="664"/>
    </row>
    <row r="11" customFormat="false" ht="13.8" hidden="false" customHeight="false" outlineLevel="0" collapsed="false">
      <c r="A11" s="652"/>
      <c r="B11" s="661"/>
      <c r="C11" s="662"/>
      <c r="D11" s="663"/>
      <c r="E11" s="663"/>
      <c r="F11" s="663"/>
      <c r="G11" s="662"/>
      <c r="H11" s="664"/>
    </row>
    <row r="12" customFormat="false" ht="13.8" hidden="false" customHeight="false" outlineLevel="0" collapsed="false">
      <c r="A12" s="652"/>
      <c r="B12" s="661"/>
      <c r="C12" s="662"/>
      <c r="D12" s="663"/>
      <c r="E12" s="663"/>
      <c r="F12" s="663"/>
      <c r="G12" s="662"/>
      <c r="H12" s="664"/>
    </row>
    <row r="13" customFormat="false" ht="13.8" hidden="false" customHeight="false" outlineLevel="0" collapsed="false">
      <c r="A13" s="652"/>
      <c r="B13" s="661"/>
      <c r="C13" s="662"/>
      <c r="D13" s="663"/>
      <c r="E13" s="663"/>
      <c r="F13" s="663"/>
      <c r="G13" s="662"/>
      <c r="H13" s="664"/>
    </row>
    <row r="14" customFormat="false" ht="13.8" hidden="false" customHeight="false" outlineLevel="0" collapsed="false">
      <c r="A14" s="652"/>
      <c r="B14" s="661"/>
      <c r="C14" s="662"/>
      <c r="D14" s="663"/>
      <c r="E14" s="663"/>
      <c r="F14" s="663"/>
      <c r="G14" s="662"/>
      <c r="H14" s="664"/>
    </row>
    <row r="15" customFormat="false" ht="13.8" hidden="false" customHeight="false" outlineLevel="0" collapsed="false">
      <c r="A15" s="652"/>
      <c r="B15" s="661"/>
      <c r="C15" s="662"/>
      <c r="D15" s="663"/>
      <c r="E15" s="663"/>
      <c r="F15" s="663"/>
      <c r="G15" s="662"/>
      <c r="H15" s="664"/>
    </row>
    <row r="16" s="669" customFormat="true" ht="14.9" hidden="false" customHeight="false" outlineLevel="0" collapsed="false">
      <c r="A16" s="652"/>
      <c r="B16" s="665" t="s">
        <v>505</v>
      </c>
      <c r="C16" s="666"/>
      <c r="D16" s="667" t="n">
        <f aca="false">SUM(D4:D15)</f>
        <v>0.6</v>
      </c>
      <c r="E16" s="667"/>
      <c r="F16" s="667" t="n">
        <f aca="false">SUM(F4:F15)</f>
        <v>40.02</v>
      </c>
      <c r="G16" s="666" t="n">
        <v>20</v>
      </c>
      <c r="H16" s="668" t="n">
        <f aca="false">G16*F16</f>
        <v>800.4</v>
      </c>
    </row>
    <row r="17" customFormat="false" ht="13.8" hidden="false" customHeight="false" outlineLevel="0" collapsed="false">
      <c r="A17" s="652" t="s">
        <v>506</v>
      </c>
      <c r="B17" s="653" t="s">
        <v>498</v>
      </c>
      <c r="C17" s="654" t="s">
        <v>499</v>
      </c>
      <c r="D17" s="655" t="n">
        <v>0.35</v>
      </c>
      <c r="E17" s="655"/>
      <c r="F17" s="655" t="n">
        <v>6.27</v>
      </c>
      <c r="G17" s="654"/>
      <c r="H17" s="656"/>
    </row>
    <row r="18" customFormat="false" ht="13.8" hidden="false" customHeight="false" outlineLevel="0" collapsed="false">
      <c r="A18" s="652"/>
      <c r="B18" s="657" t="s">
        <v>500</v>
      </c>
      <c r="C18" s="658" t="s">
        <v>499</v>
      </c>
      <c r="D18" s="659" t="n">
        <v>0.03</v>
      </c>
      <c r="E18" s="659"/>
      <c r="F18" s="659" t="n">
        <v>1.7</v>
      </c>
      <c r="G18" s="658"/>
      <c r="H18" s="660"/>
    </row>
    <row r="19" customFormat="false" ht="13.8" hidden="false" customHeight="false" outlineLevel="0" collapsed="false">
      <c r="A19" s="652"/>
      <c r="B19" s="657" t="s">
        <v>507</v>
      </c>
      <c r="C19" s="658" t="s">
        <v>499</v>
      </c>
      <c r="D19" s="659" t="n">
        <v>0.045</v>
      </c>
      <c r="E19" s="659" t="n">
        <v>100</v>
      </c>
      <c r="F19" s="659" t="n">
        <f aca="false">E19*D19</f>
        <v>4.5</v>
      </c>
      <c r="G19" s="658"/>
      <c r="H19" s="660"/>
    </row>
    <row r="20" customFormat="false" ht="13.8" hidden="false" customHeight="false" outlineLevel="0" collapsed="false">
      <c r="A20" s="652"/>
      <c r="B20" s="657" t="s">
        <v>508</v>
      </c>
      <c r="C20" s="658" t="s">
        <v>499</v>
      </c>
      <c r="D20" s="659" t="n">
        <v>0.035</v>
      </c>
      <c r="E20" s="659" t="n">
        <v>100</v>
      </c>
      <c r="F20" s="659" t="n">
        <f aca="false">E20*D20</f>
        <v>3.5</v>
      </c>
      <c r="G20" s="658"/>
      <c r="H20" s="660"/>
    </row>
    <row r="21" customFormat="false" ht="13.8" hidden="false" customHeight="false" outlineLevel="0" collapsed="false">
      <c r="A21" s="652"/>
      <c r="B21" s="657" t="s">
        <v>509</v>
      </c>
      <c r="C21" s="658" t="s">
        <v>499</v>
      </c>
      <c r="D21" s="659" t="n">
        <v>0.05</v>
      </c>
      <c r="E21" s="659" t="n">
        <v>15</v>
      </c>
      <c r="F21" s="659" t="n">
        <f aca="false">E21*D21</f>
        <v>0.75</v>
      </c>
      <c r="G21" s="658"/>
      <c r="H21" s="660"/>
    </row>
    <row r="22" customFormat="false" ht="13.8" hidden="false" customHeight="false" outlineLevel="0" collapsed="false">
      <c r="A22" s="652"/>
      <c r="B22" s="657" t="s">
        <v>510</v>
      </c>
      <c r="C22" s="658" t="s">
        <v>499</v>
      </c>
      <c r="D22" s="670" t="n">
        <v>0.002</v>
      </c>
      <c r="E22" s="659" t="n">
        <v>800</v>
      </c>
      <c r="F22" s="659" t="n">
        <f aca="false">E22*D22</f>
        <v>1.6</v>
      </c>
      <c r="G22" s="658"/>
      <c r="H22" s="660"/>
    </row>
    <row r="23" customFormat="false" ht="13.8" hidden="false" customHeight="false" outlineLevel="0" collapsed="false">
      <c r="A23" s="652"/>
      <c r="B23" s="657" t="s">
        <v>503</v>
      </c>
      <c r="C23" s="658" t="s">
        <v>499</v>
      </c>
      <c r="D23" s="659" t="n">
        <v>0.045</v>
      </c>
      <c r="E23" s="659" t="n">
        <v>150</v>
      </c>
      <c r="F23" s="659" t="n">
        <f aca="false">E23*D23</f>
        <v>6.75</v>
      </c>
      <c r="G23" s="658"/>
      <c r="H23" s="660"/>
    </row>
    <row r="24" customFormat="false" ht="13.8" hidden="false" customHeight="false" outlineLevel="0" collapsed="false">
      <c r="A24" s="652"/>
      <c r="B24" s="657" t="s">
        <v>511</v>
      </c>
      <c r="C24" s="658" t="s">
        <v>499</v>
      </c>
      <c r="D24" s="659" t="n">
        <v>0.045</v>
      </c>
      <c r="E24" s="659" t="n">
        <v>100</v>
      </c>
      <c r="F24" s="659" t="n">
        <f aca="false">E24*D24</f>
        <v>4.5</v>
      </c>
      <c r="G24" s="658"/>
      <c r="H24" s="660"/>
    </row>
    <row r="25" customFormat="false" ht="13.8" hidden="false" customHeight="false" outlineLevel="0" collapsed="false">
      <c r="A25" s="652"/>
      <c r="B25" s="661"/>
      <c r="C25" s="662"/>
      <c r="D25" s="663"/>
      <c r="E25" s="663"/>
      <c r="F25" s="663"/>
      <c r="G25" s="662"/>
      <c r="H25" s="664"/>
    </row>
    <row r="26" customFormat="false" ht="13.8" hidden="false" customHeight="false" outlineLevel="0" collapsed="false">
      <c r="A26" s="652"/>
      <c r="B26" s="661"/>
      <c r="C26" s="662"/>
      <c r="D26" s="663"/>
      <c r="E26" s="663"/>
      <c r="F26" s="663"/>
      <c r="G26" s="662"/>
      <c r="H26" s="664"/>
    </row>
    <row r="27" customFormat="false" ht="13.8" hidden="false" customHeight="false" outlineLevel="0" collapsed="false">
      <c r="A27" s="652"/>
      <c r="B27" s="661"/>
      <c r="C27" s="662"/>
      <c r="D27" s="663"/>
      <c r="E27" s="663"/>
      <c r="F27" s="663"/>
      <c r="G27" s="662"/>
      <c r="H27" s="664"/>
    </row>
    <row r="28" customFormat="false" ht="13.8" hidden="false" customHeight="false" outlineLevel="0" collapsed="false">
      <c r="A28" s="652"/>
      <c r="B28" s="661"/>
      <c r="C28" s="662"/>
      <c r="D28" s="663"/>
      <c r="E28" s="663"/>
      <c r="F28" s="663"/>
      <c r="G28" s="662"/>
      <c r="H28" s="664"/>
    </row>
    <row r="29" s="669" customFormat="true" ht="14.9" hidden="false" customHeight="false" outlineLevel="0" collapsed="false">
      <c r="A29" s="652"/>
      <c r="B29" s="665" t="s">
        <v>505</v>
      </c>
      <c r="C29" s="666"/>
      <c r="D29" s="667" t="n">
        <f aca="false">SUM(D17:D28)</f>
        <v>0.602</v>
      </c>
      <c r="E29" s="667"/>
      <c r="F29" s="667" t="n">
        <f aca="false">SUM(F17:F28)</f>
        <v>29.57</v>
      </c>
      <c r="G29" s="666" t="n">
        <v>15</v>
      </c>
      <c r="H29" s="668" t="n">
        <f aca="false">G29*F29</f>
        <v>443.55</v>
      </c>
    </row>
    <row r="30" customFormat="false" ht="13.8" hidden="false" customHeight="false" outlineLevel="0" collapsed="false">
      <c r="A30" s="671" t="s">
        <v>512</v>
      </c>
      <c r="B30" s="653" t="s">
        <v>498</v>
      </c>
      <c r="C30" s="654" t="s">
        <v>499</v>
      </c>
      <c r="D30" s="655" t="n">
        <v>0.35</v>
      </c>
      <c r="E30" s="655"/>
      <c r="F30" s="655" t="n">
        <v>6.27</v>
      </c>
      <c r="G30" s="654"/>
      <c r="H30" s="656"/>
    </row>
    <row r="31" customFormat="false" ht="13.8" hidden="false" customHeight="false" outlineLevel="0" collapsed="false">
      <c r="A31" s="671"/>
      <c r="B31" s="657" t="s">
        <v>500</v>
      </c>
      <c r="C31" s="658" t="s">
        <v>499</v>
      </c>
      <c r="D31" s="659" t="n">
        <v>0.03</v>
      </c>
      <c r="E31" s="659"/>
      <c r="F31" s="659" t="n">
        <v>1.7</v>
      </c>
      <c r="G31" s="658"/>
      <c r="H31" s="660"/>
    </row>
    <row r="32" customFormat="false" ht="13.8" hidden="false" customHeight="false" outlineLevel="0" collapsed="false">
      <c r="A32" s="671"/>
      <c r="B32" s="657" t="s">
        <v>513</v>
      </c>
      <c r="C32" s="658" t="s">
        <v>499</v>
      </c>
      <c r="D32" s="659" t="n">
        <v>0.04</v>
      </c>
      <c r="E32" s="659" t="n">
        <v>120</v>
      </c>
      <c r="F32" s="659" t="n">
        <f aca="false">E32*D32</f>
        <v>4.8</v>
      </c>
      <c r="G32" s="658"/>
      <c r="H32" s="660"/>
    </row>
    <row r="33" customFormat="false" ht="13.8" hidden="false" customHeight="false" outlineLevel="0" collapsed="false">
      <c r="A33" s="671"/>
      <c r="B33" s="657" t="s">
        <v>514</v>
      </c>
      <c r="C33" s="658" t="s">
        <v>499</v>
      </c>
      <c r="D33" s="659" t="n">
        <v>0.03</v>
      </c>
      <c r="E33" s="659" t="n">
        <v>50</v>
      </c>
      <c r="F33" s="659" t="n">
        <f aca="false">E33*D33</f>
        <v>1.5</v>
      </c>
      <c r="G33" s="658"/>
      <c r="H33" s="660"/>
    </row>
    <row r="34" customFormat="false" ht="13.8" hidden="false" customHeight="false" outlineLevel="0" collapsed="false">
      <c r="A34" s="671"/>
      <c r="B34" s="657" t="s">
        <v>509</v>
      </c>
      <c r="C34" s="658" t="s">
        <v>499</v>
      </c>
      <c r="D34" s="659" t="n">
        <v>0.03</v>
      </c>
      <c r="E34" s="659" t="n">
        <v>15</v>
      </c>
      <c r="F34" s="659" t="n">
        <f aca="false">E34*D34</f>
        <v>0.45</v>
      </c>
      <c r="G34" s="658"/>
      <c r="H34" s="660"/>
    </row>
    <row r="35" customFormat="false" ht="13.8" hidden="false" customHeight="false" outlineLevel="0" collapsed="false">
      <c r="A35" s="671"/>
      <c r="B35" s="657" t="s">
        <v>515</v>
      </c>
      <c r="C35" s="658" t="s">
        <v>499</v>
      </c>
      <c r="D35" s="659" t="n">
        <v>0.03</v>
      </c>
      <c r="E35" s="659" t="n">
        <v>240</v>
      </c>
      <c r="F35" s="659" t="n">
        <f aca="false">E35*D35</f>
        <v>7.2</v>
      </c>
      <c r="G35" s="658"/>
      <c r="H35" s="660"/>
    </row>
    <row r="36" customFormat="false" ht="13.8" hidden="false" customHeight="false" outlineLevel="0" collapsed="false">
      <c r="A36" s="671"/>
      <c r="B36" s="657" t="s">
        <v>516</v>
      </c>
      <c r="C36" s="658" t="s">
        <v>499</v>
      </c>
      <c r="D36" s="659" t="n">
        <v>0.01</v>
      </c>
      <c r="E36" s="659" t="n">
        <v>350</v>
      </c>
      <c r="F36" s="659" t="n">
        <f aca="false">E36*D36</f>
        <v>3.5</v>
      </c>
      <c r="G36" s="658"/>
      <c r="H36" s="660"/>
    </row>
    <row r="37" customFormat="false" ht="13.8" hidden="false" customHeight="false" outlineLevel="0" collapsed="false">
      <c r="A37" s="671"/>
      <c r="B37" s="657" t="s">
        <v>503</v>
      </c>
      <c r="C37" s="658" t="s">
        <v>499</v>
      </c>
      <c r="D37" s="659" t="n">
        <v>0.035</v>
      </c>
      <c r="E37" s="659" t="n">
        <v>150</v>
      </c>
      <c r="F37" s="659" t="n">
        <f aca="false">E37*D37</f>
        <v>5.25</v>
      </c>
      <c r="G37" s="658"/>
      <c r="H37" s="660"/>
    </row>
    <row r="38" customFormat="false" ht="13.8" hidden="false" customHeight="false" outlineLevel="0" collapsed="false">
      <c r="A38" s="671"/>
      <c r="B38" s="657" t="s">
        <v>511</v>
      </c>
      <c r="C38" s="658" t="s">
        <v>499</v>
      </c>
      <c r="D38" s="659" t="n">
        <v>0.035</v>
      </c>
      <c r="E38" s="659" t="n">
        <v>100</v>
      </c>
      <c r="F38" s="659" t="n">
        <f aca="false">E38*D38</f>
        <v>3.5</v>
      </c>
      <c r="G38" s="658"/>
      <c r="H38" s="660"/>
    </row>
    <row r="39" customFormat="false" ht="13.8" hidden="false" customHeight="false" outlineLevel="0" collapsed="false">
      <c r="A39" s="671"/>
      <c r="B39" s="657" t="s">
        <v>517</v>
      </c>
      <c r="C39" s="658" t="s">
        <v>499</v>
      </c>
      <c r="D39" s="659" t="n">
        <v>0.005</v>
      </c>
      <c r="E39" s="659" t="n">
        <v>100</v>
      </c>
      <c r="F39" s="659" t="n">
        <f aca="false">E39*D39</f>
        <v>0.5</v>
      </c>
      <c r="G39" s="658"/>
      <c r="H39" s="660"/>
    </row>
    <row r="40" customFormat="false" ht="13.8" hidden="false" customHeight="false" outlineLevel="0" collapsed="false">
      <c r="A40" s="671"/>
      <c r="B40" s="661"/>
      <c r="C40" s="662"/>
      <c r="D40" s="663"/>
      <c r="E40" s="663"/>
      <c r="F40" s="663"/>
      <c r="G40" s="662"/>
      <c r="H40" s="664"/>
    </row>
    <row r="41" customFormat="false" ht="13.8" hidden="false" customHeight="false" outlineLevel="0" collapsed="false">
      <c r="A41" s="671"/>
      <c r="B41" s="661"/>
      <c r="C41" s="662"/>
      <c r="D41" s="663"/>
      <c r="E41" s="663"/>
      <c r="F41" s="663"/>
      <c r="G41" s="662"/>
      <c r="H41" s="664"/>
    </row>
    <row r="42" s="669" customFormat="true" ht="14.9" hidden="false" customHeight="false" outlineLevel="0" collapsed="false">
      <c r="A42" s="671"/>
      <c r="B42" s="665" t="s">
        <v>505</v>
      </c>
      <c r="C42" s="666"/>
      <c r="D42" s="667" t="n">
        <f aca="false">SUM(D30:D41)</f>
        <v>0.595</v>
      </c>
      <c r="E42" s="667"/>
      <c r="F42" s="667" t="n">
        <f aca="false">SUM(F30:F41)</f>
        <v>34.67</v>
      </c>
      <c r="G42" s="666" t="n">
        <v>10</v>
      </c>
      <c r="H42" s="668" t="n">
        <f aca="false">G42*F42</f>
        <v>346.7</v>
      </c>
    </row>
    <row r="43" customFormat="false" ht="13.8" hidden="false" customHeight="false" outlineLevel="0" collapsed="false">
      <c r="A43" s="671" t="s">
        <v>518</v>
      </c>
      <c r="B43" s="653" t="s">
        <v>498</v>
      </c>
      <c r="C43" s="654" t="s">
        <v>499</v>
      </c>
      <c r="D43" s="655" t="n">
        <v>0.35</v>
      </c>
      <c r="E43" s="655"/>
      <c r="F43" s="655" t="n">
        <v>6.27</v>
      </c>
      <c r="G43" s="654"/>
      <c r="H43" s="656"/>
    </row>
    <row r="44" customFormat="false" ht="13.8" hidden="false" customHeight="false" outlineLevel="0" collapsed="false">
      <c r="A44" s="671"/>
      <c r="B44" s="657" t="s">
        <v>500</v>
      </c>
      <c r="C44" s="658" t="s">
        <v>499</v>
      </c>
      <c r="D44" s="659" t="n">
        <v>0.03</v>
      </c>
      <c r="E44" s="659"/>
      <c r="F44" s="659" t="n">
        <v>1.7</v>
      </c>
      <c r="G44" s="658"/>
      <c r="H44" s="660"/>
    </row>
    <row r="45" customFormat="false" ht="13.8" hidden="false" customHeight="false" outlineLevel="0" collapsed="false">
      <c r="A45" s="671"/>
      <c r="B45" s="657" t="s">
        <v>519</v>
      </c>
      <c r="C45" s="658" t="s">
        <v>499</v>
      </c>
      <c r="D45" s="659" t="n">
        <v>0.07</v>
      </c>
      <c r="E45" s="659" t="n">
        <v>40</v>
      </c>
      <c r="F45" s="659" t="n">
        <f aca="false">E45*D45</f>
        <v>2.8</v>
      </c>
      <c r="G45" s="658"/>
      <c r="H45" s="660"/>
    </row>
    <row r="46" customFormat="false" ht="13.8" hidden="false" customHeight="false" outlineLevel="0" collapsed="false">
      <c r="A46" s="671"/>
      <c r="B46" s="657" t="s">
        <v>508</v>
      </c>
      <c r="C46" s="658" t="s">
        <v>499</v>
      </c>
      <c r="D46" s="659" t="n">
        <v>0.05</v>
      </c>
      <c r="E46" s="659" t="n">
        <v>100</v>
      </c>
      <c r="F46" s="659" t="n">
        <f aca="false">E46*D46</f>
        <v>5</v>
      </c>
      <c r="G46" s="658"/>
      <c r="H46" s="660"/>
    </row>
    <row r="47" customFormat="false" ht="13.8" hidden="false" customHeight="false" outlineLevel="0" collapsed="false">
      <c r="A47" s="671"/>
      <c r="B47" s="657" t="s">
        <v>514</v>
      </c>
      <c r="C47" s="658" t="s">
        <v>499</v>
      </c>
      <c r="D47" s="659" t="n">
        <v>0.04</v>
      </c>
      <c r="E47" s="659" t="n">
        <v>50</v>
      </c>
      <c r="F47" s="659" t="n">
        <f aca="false">E47*D47</f>
        <v>2</v>
      </c>
      <c r="G47" s="658"/>
      <c r="H47" s="660"/>
    </row>
    <row r="48" customFormat="false" ht="13.8" hidden="false" customHeight="false" outlineLevel="0" collapsed="false">
      <c r="A48" s="671"/>
      <c r="B48" s="657" t="s">
        <v>511</v>
      </c>
      <c r="C48" s="658" t="s">
        <v>499</v>
      </c>
      <c r="D48" s="659" t="n">
        <v>0.05</v>
      </c>
      <c r="E48" s="659" t="n">
        <v>100</v>
      </c>
      <c r="F48" s="659" t="n">
        <f aca="false">E48*D48</f>
        <v>5</v>
      </c>
      <c r="G48" s="658"/>
      <c r="H48" s="660"/>
    </row>
    <row r="49" customFormat="false" ht="13.8" hidden="false" customHeight="false" outlineLevel="0" collapsed="false">
      <c r="A49" s="671"/>
      <c r="B49" s="657" t="s">
        <v>520</v>
      </c>
      <c r="C49" s="658" t="s">
        <v>499</v>
      </c>
      <c r="D49" s="659" t="n">
        <v>0.01</v>
      </c>
      <c r="E49" s="659" t="n">
        <v>100</v>
      </c>
      <c r="F49" s="659" t="n">
        <f aca="false">E49*D49</f>
        <v>1</v>
      </c>
      <c r="G49" s="658"/>
      <c r="H49" s="660"/>
    </row>
    <row r="50" customFormat="false" ht="13.8" hidden="false" customHeight="false" outlineLevel="0" collapsed="false">
      <c r="A50" s="671"/>
      <c r="B50" s="661"/>
      <c r="C50" s="662"/>
      <c r="D50" s="663"/>
      <c r="E50" s="663"/>
      <c r="F50" s="663"/>
      <c r="G50" s="662"/>
      <c r="H50" s="664"/>
    </row>
    <row r="51" customFormat="false" ht="13.8" hidden="false" customHeight="false" outlineLevel="0" collapsed="false">
      <c r="A51" s="671"/>
      <c r="B51" s="661"/>
      <c r="C51" s="662"/>
      <c r="D51" s="663"/>
      <c r="E51" s="663"/>
      <c r="F51" s="663"/>
      <c r="G51" s="662"/>
      <c r="H51" s="664"/>
    </row>
    <row r="52" customFormat="false" ht="13.8" hidden="false" customHeight="false" outlineLevel="0" collapsed="false">
      <c r="A52" s="671"/>
      <c r="B52" s="661"/>
      <c r="C52" s="662"/>
      <c r="D52" s="663"/>
      <c r="E52" s="663"/>
      <c r="F52" s="663"/>
      <c r="G52" s="662"/>
      <c r="H52" s="664"/>
    </row>
    <row r="53" customFormat="false" ht="13.8" hidden="false" customHeight="false" outlineLevel="0" collapsed="false">
      <c r="A53" s="671"/>
      <c r="B53" s="661"/>
      <c r="C53" s="662"/>
      <c r="D53" s="663"/>
      <c r="E53" s="663"/>
      <c r="F53" s="663"/>
      <c r="G53" s="662"/>
      <c r="H53" s="664"/>
    </row>
    <row r="54" customFormat="false" ht="13.8" hidden="false" customHeight="false" outlineLevel="0" collapsed="false">
      <c r="A54" s="671"/>
      <c r="B54" s="661"/>
      <c r="C54" s="662"/>
      <c r="D54" s="663"/>
      <c r="E54" s="663"/>
      <c r="F54" s="663"/>
      <c r="G54" s="662"/>
      <c r="H54" s="664"/>
    </row>
    <row r="55" customFormat="false" ht="14.9" hidden="false" customHeight="false" outlineLevel="0" collapsed="false">
      <c r="A55" s="671"/>
      <c r="B55" s="665" t="s">
        <v>505</v>
      </c>
      <c r="C55" s="666"/>
      <c r="D55" s="667" t="n">
        <f aca="false">SUM(D43:D54)</f>
        <v>0.6</v>
      </c>
      <c r="E55" s="667"/>
      <c r="F55" s="667" t="n">
        <f aca="false">SUM(F43:F54)</f>
        <v>23.77</v>
      </c>
      <c r="G55" s="666" t="n">
        <v>15</v>
      </c>
      <c r="H55" s="668" t="n">
        <f aca="false">G55*F55</f>
        <v>356.55</v>
      </c>
    </row>
    <row r="56" customFormat="false" ht="13.8" hidden="false" customHeight="false" outlineLevel="0" collapsed="false">
      <c r="A56" s="671" t="s">
        <v>521</v>
      </c>
      <c r="B56" s="653" t="s">
        <v>498</v>
      </c>
      <c r="C56" s="654" t="s">
        <v>499</v>
      </c>
      <c r="D56" s="655" t="n">
        <v>0.35</v>
      </c>
      <c r="E56" s="655"/>
      <c r="F56" s="655" t="n">
        <v>6.27</v>
      </c>
      <c r="G56" s="654"/>
      <c r="H56" s="656"/>
    </row>
    <row r="57" customFormat="false" ht="13.8" hidden="false" customHeight="false" outlineLevel="0" collapsed="false">
      <c r="A57" s="671"/>
      <c r="B57" s="657" t="s">
        <v>500</v>
      </c>
      <c r="C57" s="658" t="s">
        <v>499</v>
      </c>
      <c r="D57" s="659" t="n">
        <v>0.03</v>
      </c>
      <c r="E57" s="659"/>
      <c r="F57" s="659" t="n">
        <v>1.7</v>
      </c>
      <c r="G57" s="658"/>
      <c r="H57" s="660"/>
    </row>
    <row r="58" customFormat="false" ht="13.8" hidden="false" customHeight="false" outlineLevel="0" collapsed="false">
      <c r="A58" s="671"/>
      <c r="B58" s="657" t="s">
        <v>503</v>
      </c>
      <c r="C58" s="658" t="s">
        <v>499</v>
      </c>
      <c r="D58" s="659" t="n">
        <v>0.05</v>
      </c>
      <c r="E58" s="659" t="n">
        <v>150</v>
      </c>
      <c r="F58" s="659" t="n">
        <f aca="false">E58*D58</f>
        <v>7.5</v>
      </c>
      <c r="G58" s="658"/>
      <c r="H58" s="660"/>
    </row>
    <row r="59" customFormat="false" ht="13.8" hidden="false" customHeight="false" outlineLevel="0" collapsed="false">
      <c r="A59" s="671"/>
      <c r="B59" s="657" t="s">
        <v>522</v>
      </c>
      <c r="C59" s="658" t="s">
        <v>499</v>
      </c>
      <c r="D59" s="659" t="n">
        <v>0.03</v>
      </c>
      <c r="E59" s="659" t="n">
        <v>10</v>
      </c>
      <c r="F59" s="659" t="n">
        <f aca="false">E59*D59</f>
        <v>0.3</v>
      </c>
      <c r="G59" s="658"/>
      <c r="H59" s="660"/>
    </row>
    <row r="60" customFormat="false" ht="13.8" hidden="false" customHeight="false" outlineLevel="0" collapsed="false">
      <c r="A60" s="671"/>
      <c r="B60" s="657" t="s">
        <v>515</v>
      </c>
      <c r="C60" s="658" t="s">
        <v>499</v>
      </c>
      <c r="D60" s="659" t="n">
        <v>0.02</v>
      </c>
      <c r="E60" s="659" t="n">
        <v>240</v>
      </c>
      <c r="F60" s="659" t="n">
        <f aca="false">E60*D60</f>
        <v>4.8</v>
      </c>
      <c r="G60" s="658"/>
      <c r="H60" s="660"/>
    </row>
    <row r="61" customFormat="false" ht="13.8" hidden="false" customHeight="false" outlineLevel="0" collapsed="false">
      <c r="A61" s="671"/>
      <c r="B61" s="657" t="s">
        <v>523</v>
      </c>
      <c r="C61" s="658" t="s">
        <v>499</v>
      </c>
      <c r="D61" s="659" t="n">
        <v>0.04</v>
      </c>
      <c r="E61" s="659" t="n">
        <v>200</v>
      </c>
      <c r="F61" s="659" t="n">
        <f aca="false">E61*D61</f>
        <v>8</v>
      </c>
      <c r="G61" s="658"/>
      <c r="H61" s="660"/>
    </row>
    <row r="62" customFormat="false" ht="13.8" hidden="false" customHeight="false" outlineLevel="0" collapsed="false">
      <c r="A62" s="671"/>
      <c r="B62" s="657" t="s">
        <v>524</v>
      </c>
      <c r="C62" s="658" t="s">
        <v>499</v>
      </c>
      <c r="D62" s="659" t="n">
        <v>0.04</v>
      </c>
      <c r="E62" s="659" t="n">
        <v>250</v>
      </c>
      <c r="F62" s="659" t="n">
        <f aca="false">E62*D62</f>
        <v>10</v>
      </c>
      <c r="G62" s="658"/>
      <c r="H62" s="660"/>
    </row>
    <row r="63" customFormat="false" ht="13.8" hidden="false" customHeight="false" outlineLevel="0" collapsed="false">
      <c r="A63" s="671"/>
      <c r="B63" s="657" t="s">
        <v>525</v>
      </c>
      <c r="C63" s="658" t="s">
        <v>499</v>
      </c>
      <c r="D63" s="659" t="n">
        <v>0.04</v>
      </c>
      <c r="E63" s="659" t="n">
        <v>300</v>
      </c>
      <c r="F63" s="659" t="n">
        <f aca="false">E63*D63</f>
        <v>12</v>
      </c>
      <c r="G63" s="658"/>
      <c r="H63" s="660"/>
    </row>
    <row r="64" customFormat="false" ht="13.8" hidden="false" customHeight="false" outlineLevel="0" collapsed="false">
      <c r="A64" s="671"/>
      <c r="B64" s="661"/>
      <c r="C64" s="662"/>
      <c r="D64" s="663"/>
      <c r="E64" s="663"/>
      <c r="F64" s="663"/>
      <c r="G64" s="662"/>
      <c r="H64" s="664"/>
    </row>
    <row r="65" customFormat="false" ht="13.8" hidden="false" customHeight="false" outlineLevel="0" collapsed="false">
      <c r="A65" s="671"/>
      <c r="B65" s="661"/>
      <c r="C65" s="662"/>
      <c r="D65" s="663"/>
      <c r="E65" s="663"/>
      <c r="F65" s="663"/>
      <c r="G65" s="662"/>
      <c r="H65" s="664"/>
    </row>
    <row r="66" customFormat="false" ht="13.8" hidden="false" customHeight="false" outlineLevel="0" collapsed="false">
      <c r="A66" s="671"/>
      <c r="B66" s="661"/>
      <c r="C66" s="662"/>
      <c r="D66" s="663"/>
      <c r="E66" s="663"/>
      <c r="F66" s="663"/>
      <c r="G66" s="662"/>
      <c r="H66" s="664"/>
    </row>
    <row r="67" customFormat="false" ht="13.8" hidden="false" customHeight="false" outlineLevel="0" collapsed="false">
      <c r="A67" s="671"/>
      <c r="B67" s="661"/>
      <c r="C67" s="662"/>
      <c r="D67" s="663"/>
      <c r="E67" s="663"/>
      <c r="F67" s="663"/>
      <c r="G67" s="662"/>
      <c r="H67" s="664"/>
    </row>
    <row r="68" customFormat="false" ht="14.9" hidden="false" customHeight="false" outlineLevel="0" collapsed="false">
      <c r="A68" s="671"/>
      <c r="B68" s="665" t="s">
        <v>505</v>
      </c>
      <c r="C68" s="666"/>
      <c r="D68" s="667" t="n">
        <f aca="false">SUM(D56:D67)</f>
        <v>0.6</v>
      </c>
      <c r="E68" s="667"/>
      <c r="F68" s="667" t="n">
        <f aca="false">SUM(F56:F67)</f>
        <v>50.57</v>
      </c>
      <c r="G68" s="666" t="n">
        <v>10</v>
      </c>
      <c r="H68" s="668" t="n">
        <f aca="false">G68*F68</f>
        <v>505.7</v>
      </c>
    </row>
    <row r="69" customFormat="false" ht="13.8" hidden="false" customHeight="false" outlineLevel="0" collapsed="false">
      <c r="A69" s="671" t="s">
        <v>526</v>
      </c>
      <c r="B69" s="653" t="s">
        <v>498</v>
      </c>
      <c r="C69" s="654" t="s">
        <v>499</v>
      </c>
      <c r="D69" s="655" t="n">
        <v>0.35</v>
      </c>
      <c r="E69" s="655"/>
      <c r="F69" s="655" t="n">
        <v>6.27</v>
      </c>
      <c r="G69" s="654"/>
      <c r="H69" s="656"/>
    </row>
    <row r="70" customFormat="false" ht="13.8" hidden="false" customHeight="false" outlineLevel="0" collapsed="false">
      <c r="A70" s="671"/>
      <c r="B70" s="657" t="s">
        <v>500</v>
      </c>
      <c r="C70" s="658" t="s">
        <v>499</v>
      </c>
      <c r="D70" s="659" t="n">
        <v>0.03</v>
      </c>
      <c r="E70" s="659"/>
      <c r="F70" s="659" t="n">
        <v>1.7</v>
      </c>
      <c r="G70" s="658"/>
      <c r="H70" s="660"/>
    </row>
    <row r="71" customFormat="false" ht="13.8" hidden="false" customHeight="false" outlineLevel="0" collapsed="false">
      <c r="A71" s="671"/>
      <c r="B71" s="657" t="s">
        <v>503</v>
      </c>
      <c r="C71" s="658" t="s">
        <v>499</v>
      </c>
      <c r="D71" s="659" t="n">
        <v>0.05</v>
      </c>
      <c r="E71" s="659" t="n">
        <v>150</v>
      </c>
      <c r="F71" s="659" t="n">
        <f aca="false">E71*D71</f>
        <v>7.5</v>
      </c>
      <c r="G71" s="658"/>
      <c r="H71" s="660"/>
    </row>
    <row r="72" customFormat="false" ht="13.8" hidden="false" customHeight="false" outlineLevel="0" collapsed="false">
      <c r="A72" s="671"/>
      <c r="B72" s="657" t="s">
        <v>514</v>
      </c>
      <c r="C72" s="658" t="s">
        <v>499</v>
      </c>
      <c r="D72" s="659" t="n">
        <v>0.03</v>
      </c>
      <c r="E72" s="659" t="n">
        <v>50</v>
      </c>
      <c r="F72" s="659" t="n">
        <f aca="false">E72*D72</f>
        <v>1.5</v>
      </c>
      <c r="G72" s="658"/>
      <c r="H72" s="660"/>
    </row>
    <row r="73" customFormat="false" ht="13.8" hidden="false" customHeight="false" outlineLevel="0" collapsed="false">
      <c r="A73" s="671"/>
      <c r="B73" s="657" t="s">
        <v>507</v>
      </c>
      <c r="C73" s="658" t="s">
        <v>499</v>
      </c>
      <c r="D73" s="659" t="n">
        <v>0.07</v>
      </c>
      <c r="E73" s="659" t="n">
        <v>100</v>
      </c>
      <c r="F73" s="659" t="n">
        <f aca="false">E73*D73</f>
        <v>7</v>
      </c>
      <c r="G73" s="658"/>
      <c r="H73" s="660"/>
    </row>
    <row r="74" customFormat="false" ht="13.8" hidden="false" customHeight="false" outlineLevel="0" collapsed="false">
      <c r="A74" s="671"/>
      <c r="B74" s="657" t="s">
        <v>527</v>
      </c>
      <c r="C74" s="658" t="s">
        <v>499</v>
      </c>
      <c r="D74" s="659" t="n">
        <v>0.07</v>
      </c>
      <c r="E74" s="659" t="n">
        <v>100</v>
      </c>
      <c r="F74" s="659" t="n">
        <f aca="false">E74*D74</f>
        <v>7</v>
      </c>
      <c r="G74" s="658"/>
      <c r="H74" s="660"/>
    </row>
    <row r="75" customFormat="false" ht="13.8" hidden="false" customHeight="false" outlineLevel="0" collapsed="false">
      <c r="A75" s="671"/>
      <c r="B75" s="657" t="s">
        <v>510</v>
      </c>
      <c r="C75" s="658" t="s">
        <v>499</v>
      </c>
      <c r="D75" s="670" t="n">
        <v>0.002</v>
      </c>
      <c r="E75" s="659" t="n">
        <v>800</v>
      </c>
      <c r="F75" s="659" t="n">
        <f aca="false">E75*D75</f>
        <v>1.6</v>
      </c>
      <c r="G75" s="658"/>
      <c r="H75" s="660"/>
    </row>
    <row r="76" customFormat="false" ht="13.8" hidden="false" customHeight="false" outlineLevel="0" collapsed="false">
      <c r="A76" s="671"/>
      <c r="B76" s="661"/>
      <c r="C76" s="662"/>
      <c r="D76" s="672"/>
      <c r="E76" s="663"/>
      <c r="F76" s="663"/>
      <c r="G76" s="662"/>
      <c r="H76" s="664"/>
    </row>
    <row r="77" customFormat="false" ht="13.8" hidden="false" customHeight="false" outlineLevel="0" collapsed="false">
      <c r="A77" s="671"/>
      <c r="B77" s="661"/>
      <c r="C77" s="662"/>
      <c r="D77" s="672"/>
      <c r="E77" s="663"/>
      <c r="F77" s="663"/>
      <c r="G77" s="662"/>
      <c r="H77" s="664"/>
    </row>
    <row r="78" customFormat="false" ht="13.8" hidden="false" customHeight="false" outlineLevel="0" collapsed="false">
      <c r="A78" s="671"/>
      <c r="B78" s="661"/>
      <c r="C78" s="662"/>
      <c r="D78" s="672"/>
      <c r="E78" s="663"/>
      <c r="F78" s="663"/>
      <c r="G78" s="662"/>
      <c r="H78" s="664"/>
    </row>
    <row r="79" customFormat="false" ht="13.8" hidden="false" customHeight="false" outlineLevel="0" collapsed="false">
      <c r="A79" s="671"/>
      <c r="B79" s="661"/>
      <c r="C79" s="662"/>
      <c r="D79" s="672"/>
      <c r="E79" s="663"/>
      <c r="F79" s="663"/>
      <c r="G79" s="662"/>
      <c r="H79" s="664"/>
    </row>
    <row r="80" customFormat="false" ht="13.8" hidden="false" customHeight="false" outlineLevel="0" collapsed="false">
      <c r="A80" s="671"/>
      <c r="B80" s="661"/>
      <c r="C80" s="662"/>
      <c r="D80" s="672"/>
      <c r="E80" s="663"/>
      <c r="F80" s="663"/>
      <c r="G80" s="662"/>
      <c r="H80" s="664"/>
    </row>
    <row r="81" customFormat="false" ht="14.9" hidden="false" customHeight="false" outlineLevel="0" collapsed="false">
      <c r="A81" s="671"/>
      <c r="B81" s="665" t="s">
        <v>505</v>
      </c>
      <c r="C81" s="666"/>
      <c r="D81" s="667" t="n">
        <f aca="false">SUM(D69:D80)</f>
        <v>0.602</v>
      </c>
      <c r="E81" s="667"/>
      <c r="F81" s="667" t="n">
        <f aca="false">SUM(F69:F80)</f>
        <v>32.57</v>
      </c>
      <c r="G81" s="666" t="n">
        <v>20</v>
      </c>
      <c r="H81" s="668" t="n">
        <f aca="false">G81*F81</f>
        <v>651.4</v>
      </c>
    </row>
    <row r="82" customFormat="false" ht="13.8" hidden="false" customHeight="false" outlineLevel="0" collapsed="false">
      <c r="A82" s="671" t="s">
        <v>528</v>
      </c>
      <c r="B82" s="653" t="s">
        <v>498</v>
      </c>
      <c r="C82" s="654" t="s">
        <v>499</v>
      </c>
      <c r="D82" s="655" t="n">
        <v>0.35</v>
      </c>
      <c r="E82" s="655"/>
      <c r="F82" s="655" t="n">
        <v>6.27</v>
      </c>
      <c r="G82" s="654"/>
      <c r="H82" s="656"/>
    </row>
    <row r="83" customFormat="false" ht="13.8" hidden="false" customHeight="false" outlineLevel="0" collapsed="false">
      <c r="A83" s="671"/>
      <c r="B83" s="657" t="s">
        <v>500</v>
      </c>
      <c r="C83" s="658" t="s">
        <v>499</v>
      </c>
      <c r="D83" s="659" t="n">
        <v>0.03</v>
      </c>
      <c r="E83" s="659"/>
      <c r="F83" s="659" t="n">
        <v>1.7</v>
      </c>
      <c r="G83" s="658"/>
      <c r="H83" s="660"/>
    </row>
    <row r="84" customFormat="false" ht="13.8" hidden="false" customHeight="false" outlineLevel="0" collapsed="false">
      <c r="A84" s="671"/>
      <c r="B84" s="657" t="s">
        <v>514</v>
      </c>
      <c r="C84" s="658" t="s">
        <v>499</v>
      </c>
      <c r="D84" s="659" t="n">
        <v>0.05</v>
      </c>
      <c r="E84" s="659" t="n">
        <v>50</v>
      </c>
      <c r="F84" s="659" t="n">
        <f aca="false">E84*D84</f>
        <v>2.5</v>
      </c>
      <c r="G84" s="658"/>
      <c r="H84" s="660"/>
    </row>
    <row r="85" customFormat="false" ht="13.8" hidden="false" customHeight="false" outlineLevel="0" collapsed="false">
      <c r="A85" s="671"/>
      <c r="B85" s="657" t="s">
        <v>522</v>
      </c>
      <c r="C85" s="658" t="s">
        <v>499</v>
      </c>
      <c r="D85" s="659" t="n">
        <v>0.03</v>
      </c>
      <c r="E85" s="659" t="n">
        <v>10</v>
      </c>
      <c r="F85" s="659" t="n">
        <f aca="false">E85*D85</f>
        <v>0.3</v>
      </c>
      <c r="G85" s="658"/>
      <c r="H85" s="660"/>
    </row>
    <row r="86" customFormat="false" ht="13.8" hidden="false" customHeight="false" outlineLevel="0" collapsed="false">
      <c r="A86" s="671"/>
      <c r="B86" s="657" t="s">
        <v>509</v>
      </c>
      <c r="C86" s="658" t="s">
        <v>499</v>
      </c>
      <c r="D86" s="659" t="n">
        <v>0.07</v>
      </c>
      <c r="E86" s="659" t="n">
        <v>15</v>
      </c>
      <c r="F86" s="659" t="n">
        <f aca="false">E86*D86</f>
        <v>1.05</v>
      </c>
      <c r="G86" s="658"/>
      <c r="H86" s="660"/>
    </row>
    <row r="87" customFormat="false" ht="13.8" hidden="false" customHeight="false" outlineLevel="0" collapsed="false">
      <c r="A87" s="671"/>
      <c r="B87" s="657" t="s">
        <v>529</v>
      </c>
      <c r="C87" s="658" t="s">
        <v>499</v>
      </c>
      <c r="D87" s="659" t="n">
        <v>0.07</v>
      </c>
      <c r="E87" s="659" t="n">
        <v>100</v>
      </c>
      <c r="F87" s="659" t="n">
        <f aca="false">E87*D87</f>
        <v>7</v>
      </c>
      <c r="G87" s="658"/>
      <c r="H87" s="660"/>
    </row>
    <row r="88" customFormat="false" ht="13.8" hidden="false" customHeight="false" outlineLevel="0" collapsed="false">
      <c r="A88" s="671"/>
      <c r="B88" s="661"/>
      <c r="C88" s="662"/>
      <c r="D88" s="663"/>
      <c r="E88" s="663"/>
      <c r="F88" s="663"/>
      <c r="G88" s="662"/>
      <c r="H88" s="664"/>
    </row>
    <row r="89" customFormat="false" ht="13.8" hidden="false" customHeight="false" outlineLevel="0" collapsed="false">
      <c r="A89" s="671"/>
      <c r="B89" s="661"/>
      <c r="C89" s="662"/>
      <c r="D89" s="663"/>
      <c r="E89" s="663"/>
      <c r="F89" s="663"/>
      <c r="G89" s="662"/>
      <c r="H89" s="664"/>
    </row>
    <row r="90" customFormat="false" ht="13.8" hidden="false" customHeight="false" outlineLevel="0" collapsed="false">
      <c r="A90" s="671"/>
      <c r="B90" s="661"/>
      <c r="C90" s="662"/>
      <c r="D90" s="663"/>
      <c r="E90" s="663"/>
      <c r="F90" s="663"/>
      <c r="G90" s="662"/>
      <c r="H90" s="664"/>
    </row>
    <row r="91" customFormat="false" ht="13.8" hidden="false" customHeight="false" outlineLevel="0" collapsed="false">
      <c r="A91" s="671"/>
      <c r="B91" s="661"/>
      <c r="C91" s="662"/>
      <c r="D91" s="663"/>
      <c r="E91" s="663"/>
      <c r="F91" s="663"/>
      <c r="G91" s="662"/>
      <c r="H91" s="664"/>
    </row>
    <row r="92" customFormat="false" ht="13.8" hidden="false" customHeight="false" outlineLevel="0" collapsed="false">
      <c r="A92" s="671"/>
      <c r="B92" s="661"/>
      <c r="C92" s="662"/>
      <c r="D92" s="663"/>
      <c r="E92" s="663"/>
      <c r="F92" s="663"/>
      <c r="G92" s="662"/>
      <c r="H92" s="664"/>
    </row>
    <row r="93" customFormat="false" ht="13.8" hidden="false" customHeight="false" outlineLevel="0" collapsed="false">
      <c r="A93" s="671"/>
      <c r="B93" s="661"/>
      <c r="C93" s="662"/>
      <c r="D93" s="663"/>
      <c r="E93" s="663"/>
      <c r="F93" s="663"/>
      <c r="G93" s="662"/>
      <c r="H93" s="664"/>
    </row>
    <row r="94" customFormat="false" ht="14.9" hidden="false" customHeight="false" outlineLevel="0" collapsed="false">
      <c r="A94" s="671"/>
      <c r="B94" s="665" t="s">
        <v>505</v>
      </c>
      <c r="C94" s="666"/>
      <c r="D94" s="667" t="n">
        <f aca="false">SUM(D82:D93)</f>
        <v>0.6</v>
      </c>
      <c r="E94" s="667"/>
      <c r="F94" s="667" t="n">
        <f aca="false">SUM(F82:F93)</f>
        <v>18.82</v>
      </c>
      <c r="G94" s="666" t="n">
        <v>10</v>
      </c>
      <c r="H94" s="668" t="n">
        <f aca="false">G94*F94</f>
        <v>188.2</v>
      </c>
    </row>
    <row r="95" customFormat="false" ht="13.8" hidden="false" customHeight="false" outlineLevel="0" collapsed="false">
      <c r="A95" s="673" t="s">
        <v>530</v>
      </c>
      <c r="B95" s="653" t="s">
        <v>531</v>
      </c>
      <c r="C95" s="654" t="s">
        <v>499</v>
      </c>
      <c r="D95" s="655" t="n">
        <v>0.005</v>
      </c>
      <c r="E95" s="655" t="n">
        <v>50</v>
      </c>
      <c r="F95" s="655" t="n">
        <f aca="false">E95*D95</f>
        <v>0.25</v>
      </c>
      <c r="G95" s="654"/>
      <c r="H95" s="656"/>
    </row>
    <row r="96" customFormat="false" ht="13.8" hidden="false" customHeight="false" outlineLevel="0" collapsed="false">
      <c r="A96" s="673"/>
      <c r="B96" s="657" t="s">
        <v>532</v>
      </c>
      <c r="C96" s="658" t="s">
        <v>499</v>
      </c>
      <c r="D96" s="659" t="n">
        <v>0.15</v>
      </c>
      <c r="E96" s="659" t="n">
        <v>15</v>
      </c>
      <c r="F96" s="659" t="n">
        <f aca="false">E96*D96</f>
        <v>2.25</v>
      </c>
      <c r="G96" s="658"/>
      <c r="H96" s="660"/>
    </row>
    <row r="97" customFormat="false" ht="13.8" hidden="false" customHeight="false" outlineLevel="0" collapsed="false">
      <c r="A97" s="673"/>
      <c r="B97" s="657" t="s">
        <v>533</v>
      </c>
      <c r="C97" s="658" t="s">
        <v>499</v>
      </c>
      <c r="D97" s="659" t="n">
        <v>0.005</v>
      </c>
      <c r="E97" s="659" t="n">
        <v>16</v>
      </c>
      <c r="F97" s="659" t="n">
        <f aca="false">E97*D97</f>
        <v>0.08</v>
      </c>
      <c r="G97" s="658"/>
      <c r="H97" s="660"/>
    </row>
    <row r="98" customFormat="false" ht="13.8" hidden="false" customHeight="false" outlineLevel="0" collapsed="false">
      <c r="A98" s="673"/>
      <c r="B98" s="657" t="s">
        <v>534</v>
      </c>
      <c r="C98" s="658" t="s">
        <v>535</v>
      </c>
      <c r="D98" s="659" t="n">
        <v>0.015</v>
      </c>
      <c r="E98" s="659" t="n">
        <v>230</v>
      </c>
      <c r="F98" s="659" t="n">
        <f aca="false">E98*D98</f>
        <v>3.45</v>
      </c>
      <c r="G98" s="658"/>
      <c r="H98" s="660"/>
    </row>
    <row r="99" customFormat="false" ht="13.8" hidden="false" customHeight="false" outlineLevel="0" collapsed="false">
      <c r="A99" s="673"/>
      <c r="B99" s="657" t="s">
        <v>536</v>
      </c>
      <c r="C99" s="658" t="s">
        <v>535</v>
      </c>
      <c r="D99" s="659" t="n">
        <v>0.17</v>
      </c>
      <c r="E99" s="659" t="n">
        <v>1</v>
      </c>
      <c r="F99" s="659" t="n">
        <f aca="false">E99*D99</f>
        <v>0.17</v>
      </c>
      <c r="G99" s="658"/>
      <c r="H99" s="660"/>
    </row>
    <row r="100" customFormat="false" ht="13.8" hidden="false" customHeight="false" outlineLevel="0" collapsed="false">
      <c r="A100" s="673"/>
      <c r="B100" s="657" t="s">
        <v>537</v>
      </c>
      <c r="C100" s="658" t="s">
        <v>499</v>
      </c>
      <c r="D100" s="659" t="n">
        <v>0.005</v>
      </c>
      <c r="E100" s="659" t="n">
        <v>14</v>
      </c>
      <c r="F100" s="659" t="n">
        <f aca="false">E100*D100</f>
        <v>0.07</v>
      </c>
      <c r="G100" s="658"/>
      <c r="H100" s="660"/>
    </row>
    <row r="101" customFormat="false" ht="13.8" hidden="false" customHeight="false" outlineLevel="0" collapsed="false">
      <c r="A101" s="673"/>
      <c r="B101" s="661"/>
      <c r="C101" s="662"/>
      <c r="D101" s="663"/>
      <c r="E101" s="663"/>
      <c r="F101" s="663"/>
      <c r="G101" s="662"/>
      <c r="H101" s="664"/>
    </row>
    <row r="102" customFormat="false" ht="13.8" hidden="false" customHeight="false" outlineLevel="0" collapsed="false">
      <c r="A102" s="673"/>
      <c r="B102" s="661"/>
      <c r="C102" s="662"/>
      <c r="D102" s="663"/>
      <c r="E102" s="663"/>
      <c r="F102" s="663"/>
      <c r="G102" s="662"/>
      <c r="H102" s="664"/>
    </row>
    <row r="103" customFormat="false" ht="13.8" hidden="false" customHeight="false" outlineLevel="0" collapsed="false">
      <c r="A103" s="673"/>
      <c r="B103" s="661"/>
      <c r="C103" s="662"/>
      <c r="D103" s="663"/>
      <c r="E103" s="663"/>
      <c r="F103" s="663"/>
      <c r="G103" s="662"/>
      <c r="H103" s="664"/>
    </row>
    <row r="104" customFormat="false" ht="13.8" hidden="false" customHeight="false" outlineLevel="0" collapsed="false">
      <c r="A104" s="673"/>
      <c r="B104" s="661"/>
      <c r="C104" s="662"/>
      <c r="D104" s="663"/>
      <c r="E104" s="663"/>
      <c r="F104" s="663"/>
      <c r="G104" s="662"/>
      <c r="H104" s="664"/>
    </row>
    <row r="105" s="669" customFormat="true" ht="13.8" hidden="false" customHeight="false" outlineLevel="0" collapsed="false">
      <c r="A105" s="673"/>
      <c r="B105" s="674" t="s">
        <v>505</v>
      </c>
      <c r="C105" s="675"/>
      <c r="D105" s="676" t="n">
        <f aca="false">SUM(D95:D104)</f>
        <v>0.35</v>
      </c>
      <c r="E105" s="676"/>
      <c r="F105" s="676" t="n">
        <f aca="false">SUM(F95:F104)</f>
        <v>6.27</v>
      </c>
      <c r="G105" s="675"/>
      <c r="H105" s="677"/>
    </row>
    <row r="106" customFormat="false" ht="13.8" hidden="false" customHeight="false" outlineLevel="0" collapsed="false">
      <c r="A106" s="673" t="s">
        <v>538</v>
      </c>
      <c r="B106" s="653" t="s">
        <v>509</v>
      </c>
      <c r="C106" s="654" t="s">
        <v>499</v>
      </c>
      <c r="D106" s="655" t="n">
        <v>0.03</v>
      </c>
      <c r="E106" s="655" t="n">
        <v>15</v>
      </c>
      <c r="F106" s="655" t="n">
        <f aca="false">E106*D106</f>
        <v>0.45</v>
      </c>
      <c r="G106" s="654"/>
      <c r="H106" s="656"/>
    </row>
    <row r="107" customFormat="false" ht="13.8" hidden="false" customHeight="false" outlineLevel="0" collapsed="false">
      <c r="A107" s="673"/>
      <c r="B107" s="657" t="s">
        <v>539</v>
      </c>
      <c r="C107" s="658" t="s">
        <v>499</v>
      </c>
      <c r="D107" s="670" t="n">
        <v>0.005</v>
      </c>
      <c r="E107" s="659" t="n">
        <v>10</v>
      </c>
      <c r="F107" s="659" t="n">
        <f aca="false">E107*D107</f>
        <v>0.05</v>
      </c>
      <c r="G107" s="658"/>
      <c r="H107" s="660"/>
    </row>
    <row r="108" customFormat="false" ht="13.8" hidden="false" customHeight="false" outlineLevel="0" collapsed="false">
      <c r="A108" s="673"/>
      <c r="B108" s="657" t="s">
        <v>540</v>
      </c>
      <c r="C108" s="658" t="s">
        <v>499</v>
      </c>
      <c r="D108" s="670" t="n">
        <v>0.005</v>
      </c>
      <c r="E108" s="659" t="n">
        <v>10</v>
      </c>
      <c r="F108" s="659" t="n">
        <f aca="false">E108*D108</f>
        <v>0.05</v>
      </c>
      <c r="G108" s="658"/>
      <c r="H108" s="660"/>
    </row>
    <row r="109" customFormat="false" ht="13.8" hidden="false" customHeight="false" outlineLevel="0" collapsed="false">
      <c r="A109" s="673"/>
      <c r="B109" s="657" t="s">
        <v>534</v>
      </c>
      <c r="C109" s="658" t="s">
        <v>535</v>
      </c>
      <c r="D109" s="670" t="n">
        <v>0.005</v>
      </c>
      <c r="E109" s="659" t="n">
        <v>230</v>
      </c>
      <c r="F109" s="659" t="n">
        <f aca="false">E109*D109</f>
        <v>1.15</v>
      </c>
      <c r="G109" s="658"/>
      <c r="H109" s="660"/>
    </row>
    <row r="110" customFormat="false" ht="13.8" hidden="false" customHeight="false" outlineLevel="0" collapsed="false">
      <c r="A110" s="673"/>
      <c r="B110" s="661"/>
      <c r="C110" s="662"/>
      <c r="D110" s="672"/>
      <c r="E110" s="663"/>
      <c r="F110" s="663"/>
      <c r="G110" s="662"/>
      <c r="H110" s="664"/>
    </row>
    <row r="111" customFormat="false" ht="13.8" hidden="false" customHeight="false" outlineLevel="0" collapsed="false">
      <c r="A111" s="673"/>
      <c r="B111" s="661"/>
      <c r="C111" s="662"/>
      <c r="D111" s="672"/>
      <c r="E111" s="663"/>
      <c r="F111" s="663"/>
      <c r="G111" s="662"/>
      <c r="H111" s="664"/>
    </row>
    <row r="112" customFormat="false" ht="13.8" hidden="false" customHeight="false" outlineLevel="0" collapsed="false">
      <c r="A112" s="673"/>
      <c r="B112" s="661"/>
      <c r="C112" s="662"/>
      <c r="D112" s="672"/>
      <c r="E112" s="663"/>
      <c r="F112" s="663"/>
      <c r="G112" s="662"/>
      <c r="H112" s="664"/>
    </row>
    <row r="113" customFormat="false" ht="13.8" hidden="false" customHeight="false" outlineLevel="0" collapsed="false">
      <c r="A113" s="673"/>
      <c r="B113" s="661"/>
      <c r="C113" s="662"/>
      <c r="D113" s="672"/>
      <c r="E113" s="663"/>
      <c r="F113" s="663"/>
      <c r="G113" s="662"/>
      <c r="H113" s="664"/>
    </row>
    <row r="114" customFormat="false" ht="13.8" hidden="false" customHeight="false" outlineLevel="0" collapsed="false">
      <c r="A114" s="673"/>
      <c r="B114" s="661"/>
      <c r="C114" s="662"/>
      <c r="D114" s="672"/>
      <c r="E114" s="663"/>
      <c r="F114" s="663"/>
      <c r="G114" s="662"/>
      <c r="H114" s="664"/>
    </row>
    <row r="115" customFormat="false" ht="13.8" hidden="false" customHeight="false" outlineLevel="0" collapsed="false">
      <c r="A115" s="673"/>
      <c r="B115" s="661"/>
      <c r="C115" s="662"/>
      <c r="D115" s="672"/>
      <c r="E115" s="663"/>
      <c r="F115" s="663"/>
      <c r="G115" s="662"/>
      <c r="H115" s="664"/>
    </row>
    <row r="116" customFormat="false" ht="13.8" hidden="false" customHeight="false" outlineLevel="0" collapsed="false">
      <c r="A116" s="673"/>
      <c r="B116" s="674" t="s">
        <v>505</v>
      </c>
      <c r="C116" s="675"/>
      <c r="D116" s="676" t="n">
        <f aca="false">SUM(D106:D115)</f>
        <v>0.045</v>
      </c>
      <c r="E116" s="676"/>
      <c r="F116" s="676" t="n">
        <f aca="false">SUM(F106:F115)</f>
        <v>1.7</v>
      </c>
      <c r="G116" s="675"/>
      <c r="H116" s="677"/>
    </row>
    <row r="117" customFormat="false" ht="6" hidden="false" customHeight="true" outlineLevel="0" collapsed="false"/>
    <row r="118" customFormat="false" ht="16.15" hidden="false" customHeight="false" outlineLevel="0" collapsed="false">
      <c r="A118" s="678" t="s">
        <v>541</v>
      </c>
      <c r="B118" s="678"/>
      <c r="C118" s="678"/>
      <c r="D118" s="678"/>
      <c r="E118" s="678"/>
      <c r="F118" s="678"/>
      <c r="G118" s="679" t="n">
        <f aca="false">G16+G29+G42+G55+G68+G81+G94</f>
        <v>100</v>
      </c>
      <c r="H118" s="680" t="n">
        <f aca="false">H16+H29+H42+H55+H68+H81+H94</f>
        <v>3292.5</v>
      </c>
    </row>
    <row r="119" customFormat="false" ht="6" hidden="false" customHeight="true" outlineLevel="0" collapsed="false"/>
    <row r="120" customFormat="false" ht="16.15" hidden="false" customHeight="false" outlineLevel="0" collapsed="false">
      <c r="A120" s="678" t="s">
        <v>542</v>
      </c>
      <c r="B120" s="678"/>
      <c r="C120" s="678"/>
      <c r="D120" s="678"/>
      <c r="E120" s="678"/>
      <c r="F120" s="678"/>
      <c r="G120" s="679"/>
      <c r="H120" s="680" t="n">
        <f aca="false">H118/G118</f>
        <v>32.925</v>
      </c>
    </row>
  </sheetData>
  <mergeCells count="12">
    <mergeCell ref="A1:H1"/>
    <mergeCell ref="A4:A16"/>
    <mergeCell ref="A17:A29"/>
    <mergeCell ref="A30:A42"/>
    <mergeCell ref="A43:A55"/>
    <mergeCell ref="A56:A68"/>
    <mergeCell ref="A69:A81"/>
    <mergeCell ref="A82:A94"/>
    <mergeCell ref="A95:A105"/>
    <mergeCell ref="A106:A116"/>
    <mergeCell ref="A118:F118"/>
    <mergeCell ref="A120:F120"/>
  </mergeCells>
  <conditionalFormatting sqref="G16:H16 G29:H29 G42:H42 G55:H55 G68:H68 G81:H81 G94:H94">
    <cfRule type="cellIs" priority="2" operator="equal" aboveAverage="0" equalAverage="0" bottom="0" percent="0" rank="0" text="" dxfId="386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BL178"/>
  <sheetViews>
    <sheetView showFormulas="false" showGridLines="true" showRowColHeaders="true" showZeros="false" rightToLeft="false" tabSelected="true" showOutlineSymbols="true" defaultGridColor="true" view="normal" topLeftCell="A79" colorId="64" zoomScale="55" zoomScaleNormal="55" zoomScalePageLayoutView="90" workbookViewId="0">
      <selection pane="topLeft" activeCell="L86" activeCellId="0" sqref="L86"/>
    </sheetView>
  </sheetViews>
  <sheetFormatPr defaultColWidth="17.859375" defaultRowHeight="13.8" zeroHeight="true" outlineLevelRow="0" outlineLevelCol="0"/>
  <cols>
    <col collapsed="false" customWidth="true" hidden="false" outlineLevel="0" max="1" min="1" style="35" width="0.86"/>
    <col collapsed="false" customWidth="true" hidden="false" outlineLevel="0" max="2" min="2" style="35" width="33"/>
    <col collapsed="false" customWidth="true" hidden="false" outlineLevel="0" max="3" min="3" style="35" width="8.71"/>
    <col collapsed="false" customWidth="true" hidden="false" outlineLevel="0" max="5" min="4" style="35" width="14.43"/>
    <col collapsed="false" customWidth="true" hidden="false" outlineLevel="0" max="6" min="6" style="35" width="8.71"/>
    <col collapsed="false" customWidth="true" hidden="false" outlineLevel="0" max="7" min="7" style="35" width="2.43"/>
    <col collapsed="false" customWidth="true" hidden="false" outlineLevel="0" max="8" min="8" style="36" width="15.43"/>
    <col collapsed="false" customWidth="true" hidden="false" outlineLevel="0" max="9" min="9" style="35" width="14.14"/>
    <col collapsed="false" customWidth="true" hidden="false" outlineLevel="0" max="11" min="10" style="35" width="13.85"/>
    <col collapsed="false" customWidth="true" hidden="false" outlineLevel="0" max="12" min="12" style="35" width="14.28"/>
    <col collapsed="false" customWidth="true" hidden="false" outlineLevel="0" max="13" min="13" style="35" width="14.14"/>
    <col collapsed="false" customWidth="true" hidden="false" outlineLevel="0" max="14" min="14" style="35" width="19.28"/>
    <col collapsed="false" customWidth="true" hidden="false" outlineLevel="0" max="15" min="15" style="35" width="16.71"/>
    <col collapsed="false" customWidth="true" hidden="false" outlineLevel="0" max="16" min="16" style="37" width="38.91"/>
    <col collapsed="false" customWidth="true" hidden="false" outlineLevel="0" max="17" min="17" style="38" width="34.57"/>
    <col collapsed="false" customWidth="false" hidden="true" outlineLevel="0" max="18" min="18" style="35" width="17.85"/>
    <col collapsed="false" customWidth="true" hidden="true" outlineLevel="0" max="19" min="19" style="35" width="5.57"/>
    <col collapsed="false" customWidth="true" hidden="true" outlineLevel="0" max="20" min="20" style="36" width="9.57"/>
    <col collapsed="false" customWidth="false" hidden="true" outlineLevel="0" max="64" min="21" style="35" width="17.85"/>
    <col collapsed="false" customWidth="false" hidden="true" outlineLevel="0" max="1024" min="65" style="0" width="17.85"/>
  </cols>
  <sheetData>
    <row r="1" customFormat="false" ht="25.5" hidden="false" customHeight="true" outlineLevel="0" collapsed="false">
      <c r="A1" s="39"/>
      <c r="B1" s="40"/>
      <c r="C1" s="41" t="s">
        <v>115</v>
      </c>
      <c r="D1" s="41"/>
      <c r="E1" s="41"/>
      <c r="F1" s="41"/>
      <c r="G1" s="41"/>
      <c r="H1" s="42" t="str">
        <f aca="false">'План анализа'!C15</f>
        <v>Производство и продажа пиццы на вынос</v>
      </c>
      <c r="I1" s="42"/>
      <c r="J1" s="42"/>
      <c r="K1" s="42"/>
      <c r="L1" s="42"/>
      <c r="M1" s="42"/>
      <c r="N1" s="42"/>
      <c r="O1" s="42"/>
      <c r="P1" s="42"/>
      <c r="S1" s="43" t="s">
        <v>116</v>
      </c>
      <c r="T1" s="44" t="s">
        <v>117</v>
      </c>
      <c r="U1" s="43" t="s">
        <v>118</v>
      </c>
      <c r="V1" s="43" t="s">
        <v>119</v>
      </c>
      <c r="W1" s="43" t="s">
        <v>120</v>
      </c>
      <c r="X1" s="43" t="n">
        <v>0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</row>
    <row r="2" customFormat="false" ht="21.75" hidden="false" customHeight="true" outlineLevel="0" collapsed="false">
      <c r="A2" s="39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  <c r="Q2" s="47"/>
      <c r="S2" s="43" t="n">
        <v>2015</v>
      </c>
      <c r="T2" s="44" t="s">
        <v>121</v>
      </c>
      <c r="U2" s="43" t="s">
        <v>122</v>
      </c>
      <c r="V2" s="43" t="s">
        <v>123</v>
      </c>
      <c r="W2" s="43" t="s">
        <v>124</v>
      </c>
      <c r="X2" s="43" t="n">
        <v>1</v>
      </c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</row>
    <row r="3" customFormat="false" ht="17.25" hidden="false" customHeight="true" outlineLevel="0" collapsed="false">
      <c r="A3" s="48"/>
      <c r="B3" s="49" t="s">
        <v>125</v>
      </c>
      <c r="C3" s="50" t="str">
        <f aca="false">'План анализа'!C12:G12</f>
        <v>Физическое лицо-предприниматель</v>
      </c>
      <c r="D3" s="50" t="s">
        <v>126</v>
      </c>
      <c r="E3" s="50"/>
      <c r="F3" s="50"/>
      <c r="G3" s="51"/>
      <c r="H3" s="52" t="s">
        <v>127</v>
      </c>
      <c r="I3" s="52"/>
      <c r="J3" s="52"/>
      <c r="K3" s="52"/>
      <c r="L3" s="53" t="str">
        <f aca="false">'План анализа'!C18</f>
        <v>Пицца</v>
      </c>
      <c r="M3" s="53"/>
      <c r="N3" s="53"/>
      <c r="O3" s="53"/>
      <c r="P3" s="53"/>
      <c r="R3" s="37"/>
      <c r="S3" s="43" t="n">
        <v>2016</v>
      </c>
      <c r="T3" s="44" t="s">
        <v>128</v>
      </c>
      <c r="U3" s="43" t="s">
        <v>129</v>
      </c>
      <c r="V3" s="43" t="s">
        <v>130</v>
      </c>
      <c r="W3" s="43"/>
      <c r="X3" s="43" t="n">
        <v>2</v>
      </c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</row>
    <row r="4" customFormat="false" ht="15" hidden="false" customHeight="true" outlineLevel="0" collapsed="false">
      <c r="A4" s="39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S4" s="43" t="n">
        <v>2017</v>
      </c>
      <c r="T4" s="44" t="s">
        <v>131</v>
      </c>
      <c r="U4" s="43" t="s">
        <v>132</v>
      </c>
      <c r="V4" s="43" t="s">
        <v>133</v>
      </c>
      <c r="W4" s="43"/>
      <c r="X4" s="43" t="n">
        <v>3</v>
      </c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</row>
    <row r="5" customFormat="false" ht="17.25" hidden="false" customHeight="true" outlineLevel="0" collapsed="false">
      <c r="A5" s="39"/>
      <c r="B5" s="54" t="s">
        <v>134</v>
      </c>
      <c r="C5" s="54"/>
      <c r="D5" s="55" t="s">
        <v>128</v>
      </c>
      <c r="E5" s="56" t="n">
        <v>2021</v>
      </c>
      <c r="F5" s="51"/>
      <c r="G5" s="39"/>
      <c r="H5" s="57" t="s">
        <v>135</v>
      </c>
      <c r="I5" s="57"/>
      <c r="J5" s="57"/>
      <c r="K5" s="57"/>
      <c r="L5" s="39"/>
      <c r="M5" s="39"/>
      <c r="N5" s="39"/>
      <c r="O5" s="39"/>
      <c r="P5" s="48"/>
      <c r="S5" s="43" t="n">
        <v>2018</v>
      </c>
      <c r="T5" s="44" t="s">
        <v>136</v>
      </c>
      <c r="U5" s="43" t="s">
        <v>137</v>
      </c>
      <c r="V5" s="43" t="s">
        <v>138</v>
      </c>
      <c r="W5" s="43"/>
      <c r="X5" s="43" t="n">
        <v>4</v>
      </c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</row>
    <row r="6" customFormat="false" ht="15" hidden="false" customHeight="true" outlineLevel="0" collapsed="false">
      <c r="A6" s="39"/>
      <c r="B6" s="58" t="s">
        <v>139</v>
      </c>
      <c r="C6" s="58"/>
      <c r="D6" s="59" t="s">
        <v>140</v>
      </c>
      <c r="E6" s="39"/>
      <c r="F6" s="39"/>
      <c r="G6" s="39"/>
      <c r="H6" s="60" t="s">
        <v>141</v>
      </c>
      <c r="I6" s="60"/>
      <c r="J6" s="60"/>
      <c r="K6" s="61" t="str">
        <f aca="false">'План анализа'!E21</f>
        <v>молодым семьям, студентам и офисным сотрудникам</v>
      </c>
      <c r="L6" s="61"/>
      <c r="M6" s="61"/>
      <c r="N6" s="61"/>
      <c r="O6" s="61"/>
      <c r="P6" s="61"/>
      <c r="S6" s="43" t="n">
        <v>2019</v>
      </c>
      <c r="T6" s="44" t="s">
        <v>142</v>
      </c>
      <c r="U6" s="43"/>
      <c r="V6" s="43" t="s">
        <v>143</v>
      </c>
      <c r="W6" s="43"/>
      <c r="X6" s="43" t="n">
        <v>5</v>
      </c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</row>
    <row r="7" customFormat="false" ht="15" hidden="false" customHeight="true" outlineLevel="0" collapsed="false">
      <c r="A7" s="48"/>
      <c r="B7" s="62" t="s">
        <v>144</v>
      </c>
      <c r="C7" s="62"/>
      <c r="D7" s="63" t="s">
        <v>145</v>
      </c>
      <c r="E7" s="39"/>
      <c r="F7" s="39"/>
      <c r="G7" s="48"/>
      <c r="H7" s="60" t="s">
        <v>146</v>
      </c>
      <c r="I7" s="60"/>
      <c r="J7" s="60"/>
      <c r="K7" s="61" t="str">
        <f aca="false">'План анализа'!E23</f>
        <v>получить качественную пиццу по сравнительно низкой цене</v>
      </c>
      <c r="L7" s="61"/>
      <c r="M7" s="61"/>
      <c r="N7" s="61"/>
      <c r="O7" s="61"/>
      <c r="P7" s="61"/>
      <c r="Q7" s="64"/>
      <c r="R7" s="37"/>
      <c r="S7" s="43" t="n">
        <v>2020</v>
      </c>
      <c r="T7" s="44" t="s">
        <v>147</v>
      </c>
      <c r="U7" s="43"/>
      <c r="V7" s="43"/>
      <c r="W7" s="43"/>
      <c r="X7" s="43" t="n">
        <v>6</v>
      </c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</row>
    <row r="8" customFormat="false" ht="15" hidden="false" customHeight="true" outlineLevel="0" collapsed="false">
      <c r="A8" s="39"/>
      <c r="B8" s="65"/>
      <c r="C8" s="65"/>
      <c r="D8" s="66"/>
      <c r="E8" s="67"/>
      <c r="F8" s="67"/>
      <c r="G8" s="39"/>
      <c r="H8" s="60" t="s">
        <v>148</v>
      </c>
      <c r="I8" s="60"/>
      <c r="J8" s="60"/>
      <c r="K8" s="61" t="str">
        <f aca="false">'План анализа'!E25</f>
        <v>ценовой политики, направленной на максимальное снижение собственных затрат</v>
      </c>
      <c r="L8" s="61"/>
      <c r="M8" s="61"/>
      <c r="N8" s="61"/>
      <c r="O8" s="61"/>
      <c r="P8" s="61"/>
      <c r="S8" s="43" t="n">
        <v>2021</v>
      </c>
      <c r="T8" s="44" t="s">
        <v>149</v>
      </c>
      <c r="U8" s="43"/>
      <c r="V8" s="43"/>
      <c r="W8" s="43"/>
      <c r="X8" s="43" t="n">
        <v>7</v>
      </c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</row>
    <row r="9" customFormat="false" ht="16.5" hidden="false" customHeight="true" outlineLevel="0" collapsed="false">
      <c r="A9" s="39"/>
      <c r="B9" s="68" t="s">
        <v>150</v>
      </c>
      <c r="C9" s="68"/>
      <c r="D9" s="68"/>
      <c r="E9" s="68"/>
      <c r="F9" s="69"/>
      <c r="G9" s="43"/>
      <c r="H9" s="70"/>
      <c r="I9" s="39"/>
      <c r="J9" s="39"/>
      <c r="K9" s="39"/>
      <c r="L9" s="39"/>
      <c r="M9" s="39"/>
      <c r="N9" s="39"/>
      <c r="O9" s="69"/>
      <c r="P9" s="51"/>
      <c r="S9" s="43" t="n">
        <v>2022</v>
      </c>
      <c r="T9" s="44" t="s">
        <v>151</v>
      </c>
      <c r="U9" s="43"/>
      <c r="V9" s="43"/>
      <c r="W9" s="43"/>
      <c r="X9" s="43" t="n">
        <v>8</v>
      </c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</row>
    <row r="10" customFormat="false" ht="16.5" hidden="false" customHeight="true" outlineLevel="0" collapsed="false">
      <c r="A10" s="39"/>
      <c r="B10" s="71" t="s">
        <v>44</v>
      </c>
      <c r="C10" s="71"/>
      <c r="D10" s="72" t="s">
        <v>122</v>
      </c>
      <c r="E10" s="72"/>
      <c r="F10" s="73"/>
      <c r="G10" s="74"/>
      <c r="H10" s="57" t="s">
        <v>152</v>
      </c>
      <c r="I10" s="57"/>
      <c r="J10" s="57"/>
      <c r="K10" s="57"/>
      <c r="L10" s="69"/>
      <c r="M10" s="69"/>
      <c r="N10" s="69"/>
      <c r="O10" s="69"/>
      <c r="P10" s="51"/>
      <c r="S10" s="43" t="n">
        <v>2023</v>
      </c>
      <c r="T10" s="44" t="s">
        <v>153</v>
      </c>
      <c r="U10" s="43"/>
      <c r="V10" s="43"/>
      <c r="W10" s="43"/>
      <c r="X10" s="43" t="n">
        <v>9</v>
      </c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</row>
    <row r="11" customFormat="false" ht="15" hidden="false" customHeight="true" outlineLevel="0" collapsed="false">
      <c r="A11" s="39"/>
      <c r="B11" s="75" t="s">
        <v>154</v>
      </c>
      <c r="C11" s="75"/>
      <c r="D11" s="76" t="n">
        <v>12</v>
      </c>
      <c r="E11" s="77"/>
      <c r="F11" s="73"/>
      <c r="G11" s="78" t="s">
        <v>3</v>
      </c>
      <c r="H11" s="79" t="s">
        <v>155</v>
      </c>
      <c r="I11" s="79"/>
      <c r="J11" s="79"/>
      <c r="K11" s="79"/>
      <c r="L11" s="79"/>
      <c r="M11" s="79"/>
      <c r="N11" s="79"/>
      <c r="O11" s="79"/>
      <c r="P11" s="79"/>
      <c r="Q11" s="80" t="n">
        <f aca="false">IF(LEN(H11)&gt;125,"Внимание! Слишком длинный текст!",0)</f>
        <v>0</v>
      </c>
      <c r="S11" s="43" t="n">
        <v>2024</v>
      </c>
      <c r="T11" s="44" t="s">
        <v>156</v>
      </c>
      <c r="U11" s="43"/>
      <c r="V11" s="43"/>
      <c r="W11" s="43"/>
      <c r="X11" s="43" t="n">
        <v>10</v>
      </c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</row>
    <row r="12" customFormat="false" ht="15" hidden="false" customHeight="true" outlineLevel="0" collapsed="false">
      <c r="A12" s="39"/>
      <c r="B12" s="81" t="s">
        <v>157</v>
      </c>
      <c r="C12" s="81"/>
      <c r="D12" s="82" t="n">
        <v>7</v>
      </c>
      <c r="E12" s="77"/>
      <c r="F12" s="73"/>
      <c r="G12" s="83" t="s">
        <v>11</v>
      </c>
      <c r="H12" s="84" t="s">
        <v>158</v>
      </c>
      <c r="I12" s="84"/>
      <c r="J12" s="84"/>
      <c r="K12" s="84"/>
      <c r="L12" s="84"/>
      <c r="M12" s="84"/>
      <c r="N12" s="84"/>
      <c r="O12" s="84"/>
      <c r="P12" s="84"/>
      <c r="Q12" s="80" t="n">
        <f aca="false">IF(LEN(H12)&gt;125,"Внимание! Слишком длинный текст!",0)</f>
        <v>0</v>
      </c>
      <c r="S12" s="43" t="n">
        <v>2025</v>
      </c>
      <c r="T12" s="44" t="s">
        <v>159</v>
      </c>
      <c r="U12" s="43"/>
      <c r="V12" s="43"/>
      <c r="W12" s="43"/>
      <c r="X12" s="43" t="n">
        <v>11</v>
      </c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</row>
    <row r="13" customFormat="false" ht="15" hidden="false" customHeight="true" outlineLevel="0" collapsed="false">
      <c r="A13" s="39"/>
      <c r="B13" s="39"/>
      <c r="C13" s="39"/>
      <c r="D13" s="39"/>
      <c r="E13" s="73"/>
      <c r="F13" s="73"/>
      <c r="G13" s="83"/>
      <c r="H13" s="85"/>
      <c r="I13" s="85"/>
      <c r="J13" s="85"/>
      <c r="K13" s="85"/>
      <c r="L13" s="85"/>
      <c r="M13" s="85"/>
      <c r="N13" s="85"/>
      <c r="O13" s="85"/>
      <c r="P13" s="85"/>
      <c r="Q13" s="86" t="n">
        <f aca="false">IF(LEN(H13)&gt;125,"Внимание! Слишком длинный текст!",0)</f>
        <v>0</v>
      </c>
      <c r="S13" s="43" t="n">
        <v>2026</v>
      </c>
      <c r="T13" s="44" t="s">
        <v>160</v>
      </c>
      <c r="U13" s="43"/>
      <c r="V13" s="43"/>
      <c r="W13" s="43"/>
      <c r="X13" s="43" t="n">
        <v>12</v>
      </c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</row>
    <row r="14" customFormat="false" ht="20.25" hidden="false" customHeight="true" outlineLevel="0" collapsed="false">
      <c r="A14" s="39"/>
      <c r="B14" s="87" t="s">
        <v>161</v>
      </c>
      <c r="C14" s="87"/>
      <c r="D14" s="87"/>
      <c r="E14" s="87"/>
      <c r="F14" s="88" t="s">
        <v>162</v>
      </c>
      <c r="G14" s="88"/>
      <c r="H14" s="88"/>
      <c r="I14" s="88"/>
      <c r="J14" s="88"/>
      <c r="K14" s="88"/>
      <c r="L14" s="89" t="n">
        <v>1</v>
      </c>
      <c r="M14" s="90" t="s">
        <v>163</v>
      </c>
      <c r="N14" s="90"/>
      <c r="O14" s="91" t="n">
        <v>1000</v>
      </c>
      <c r="P14" s="92" t="str">
        <f aca="false">D7&amp;" продукции."</f>
        <v>ед. продукции.</v>
      </c>
      <c r="Q14" s="93"/>
      <c r="R14" s="94" t="n">
        <f aca="false">IF(L14&gt;0,C117*L14,0)</f>
        <v>50031.4</v>
      </c>
      <c r="S14" s="43" t="n">
        <v>2027</v>
      </c>
      <c r="T14" s="44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</row>
    <row r="15" customFormat="false" ht="16.5" hidden="false" customHeight="true" outlineLevel="0" collapsed="false">
      <c r="A15" s="48"/>
      <c r="B15" s="95" t="s">
        <v>164</v>
      </c>
      <c r="C15" s="95"/>
      <c r="D15" s="96" t="n">
        <f aca="false">F56+F81+R14+R15</f>
        <v>269531.4</v>
      </c>
      <c r="E15" s="97" t="str">
        <f aca="false">D6</f>
        <v>грн.</v>
      </c>
      <c r="F15" s="98" t="str">
        <f aca="false">IF(SUM(D16:D17)&lt;D15,"Внимание! У Вас запланировано недостаточно средств для открытия бизнеса! Не хватает еще "&amp;TEXT(ROUND(D15-D16-D17,0),"# ###")&amp;" "&amp;D6&amp;"!",IF(SUM(D16:D17)&gt;D15,"Внимание! У Вас запланирован переизбыток средств для открытия бизнеса на сумму "&amp;TEXT(ROUND(D16+D17-D15,0),"# ###")&amp;" "&amp;D6&amp;"!",0))</f>
        <v>Внимание! У Вас запланировано недостаточно средств для открытия бизнеса! Не хватает еще 59 322 грн.!</v>
      </c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9"/>
      <c r="R15" s="94" t="n">
        <f aca="false">IF(O14&gt;0,O14*F117,0)</f>
        <v>44500</v>
      </c>
      <c r="S15" s="43" t="n">
        <v>2028</v>
      </c>
      <c r="T15" s="44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</row>
    <row r="16" customFormat="false" ht="16.15" hidden="false" customHeight="false" outlineLevel="0" collapsed="false">
      <c r="A16" s="39"/>
      <c r="B16" s="100" t="s">
        <v>165</v>
      </c>
      <c r="C16" s="100"/>
      <c r="D16" s="101" t="n">
        <v>141209</v>
      </c>
      <c r="E16" s="102" t="str">
        <f aca="false">D6</f>
        <v>грн.</v>
      </c>
      <c r="F16" s="103" t="n">
        <f aca="false">IFERROR(D16*100/SUM(D16:D17),0)</f>
        <v>67.1755253105243</v>
      </c>
      <c r="G16" s="104" t="s">
        <v>166</v>
      </c>
      <c r="H16" s="105" t="n">
        <f aca="false">SUM(D16:D17)-D15</f>
        <v>-59322.4</v>
      </c>
      <c r="I16" s="68" t="s">
        <v>167</v>
      </c>
      <c r="J16" s="68"/>
      <c r="K16" s="106" t="str">
        <f aca="false">'План анализа'!C33</f>
        <v>до устойчивого развития бизнеса управление буду осуществлять единолично</v>
      </c>
      <c r="L16" s="106"/>
      <c r="M16" s="106"/>
      <c r="N16" s="106"/>
      <c r="O16" s="106"/>
      <c r="P16" s="106"/>
      <c r="S16" s="43" t="n">
        <v>2029</v>
      </c>
      <c r="T16" s="44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</row>
    <row r="17" customFormat="false" ht="15" hidden="false" customHeight="true" outlineLevel="0" collapsed="false">
      <c r="A17" s="39"/>
      <c r="B17" s="75" t="s">
        <v>168</v>
      </c>
      <c r="C17" s="75"/>
      <c r="D17" s="107" t="n">
        <v>69000</v>
      </c>
      <c r="E17" s="108" t="str">
        <f aca="false">D6</f>
        <v>грн.</v>
      </c>
      <c r="F17" s="109" t="n">
        <f aca="false">IFERROR(D17*100/SUM(D16:D17),0)</f>
        <v>32.8244746894757</v>
      </c>
      <c r="G17" s="110" t="s">
        <v>166</v>
      </c>
      <c r="H17" s="73"/>
      <c r="I17" s="73"/>
      <c r="J17" s="51"/>
      <c r="K17" s="51"/>
      <c r="L17" s="51"/>
      <c r="M17" s="51"/>
      <c r="N17" s="51"/>
      <c r="O17" s="51"/>
      <c r="P17" s="51"/>
      <c r="R17" s="37"/>
      <c r="S17" s="43" t="n">
        <v>2030</v>
      </c>
      <c r="T17" s="44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</row>
    <row r="18" customFormat="false" ht="16.15" hidden="false" customHeight="false" outlineLevel="0" collapsed="false">
      <c r="A18" s="39"/>
      <c r="B18" s="75" t="s">
        <v>169</v>
      </c>
      <c r="C18" s="75"/>
      <c r="D18" s="111" t="s">
        <v>170</v>
      </c>
      <c r="E18" s="111"/>
      <c r="F18" s="111"/>
      <c r="G18" s="111"/>
      <c r="H18" s="73"/>
      <c r="I18" s="68" t="s">
        <v>171</v>
      </c>
      <c r="J18" s="68"/>
      <c r="K18" s="68"/>
      <c r="L18" s="68"/>
      <c r="M18" s="68"/>
      <c r="N18" s="68"/>
      <c r="O18" s="68"/>
      <c r="P18" s="106" t="str">
        <f aca="false">'План анализа'!C96</f>
        <v>один день</v>
      </c>
      <c r="S18" s="43"/>
      <c r="T18" s="44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</row>
    <row r="19" customFormat="false" ht="15" hidden="false" customHeight="true" outlineLevel="0" collapsed="false">
      <c r="A19" s="39"/>
      <c r="B19" s="112" t="s">
        <v>172</v>
      </c>
      <c r="C19" s="112"/>
      <c r="D19" s="113" t="n">
        <v>12</v>
      </c>
      <c r="E19" s="114" t="s">
        <v>173</v>
      </c>
      <c r="F19" s="115"/>
      <c r="G19" s="116"/>
      <c r="H19" s="117"/>
      <c r="I19" s="73"/>
      <c r="J19" s="51"/>
      <c r="K19" s="51"/>
      <c r="L19" s="51"/>
      <c r="M19" s="51"/>
      <c r="N19" s="51"/>
      <c r="O19" s="51"/>
      <c r="P19" s="51"/>
      <c r="S19" s="43"/>
      <c r="T19" s="44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</row>
    <row r="20" customFormat="false" ht="16.15" hidden="false" customHeight="false" outlineLevel="0" collapsed="false">
      <c r="A20" s="39"/>
      <c r="B20" s="75" t="s">
        <v>174</v>
      </c>
      <c r="C20" s="75"/>
      <c r="D20" s="118" t="n">
        <v>20</v>
      </c>
      <c r="E20" s="119" t="s">
        <v>166</v>
      </c>
      <c r="F20" s="120"/>
      <c r="G20" s="117"/>
      <c r="H20" s="73"/>
      <c r="I20" s="68" t="s">
        <v>175</v>
      </c>
      <c r="J20" s="68"/>
      <c r="K20" s="68"/>
      <c r="L20" s="68"/>
      <c r="M20" s="68"/>
      <c r="N20" s="68"/>
      <c r="O20" s="106" t="str">
        <f aca="false">'План анализа'!C99</f>
        <v>три месяца</v>
      </c>
      <c r="P20" s="106"/>
      <c r="S20" s="43"/>
      <c r="T20" s="44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</row>
    <row r="21" customFormat="false" ht="15" hidden="false" customHeight="true" outlineLevel="0" collapsed="false">
      <c r="A21" s="39"/>
      <c r="B21" s="121" t="s">
        <v>176</v>
      </c>
      <c r="C21" s="121"/>
      <c r="D21" s="122" t="n">
        <v>43862</v>
      </c>
      <c r="E21" s="123"/>
      <c r="F21" s="73"/>
      <c r="G21" s="73"/>
      <c r="H21" s="73"/>
      <c r="I21" s="73"/>
      <c r="J21" s="51"/>
      <c r="K21" s="51"/>
      <c r="L21" s="51"/>
      <c r="M21" s="51"/>
      <c r="N21" s="51"/>
      <c r="O21" s="51"/>
      <c r="P21" s="51"/>
      <c r="S21" s="43"/>
      <c r="T21" s="44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</row>
    <row r="22" customFormat="false" ht="15" hidden="false" customHeight="true" outlineLevel="0" collapsed="false">
      <c r="A22" s="39"/>
      <c r="B22" s="124" t="str">
        <f aca="false">IF(SUM(D19:D20)&gt;0,"Средняя сумма ежемесячного платежа по Вашим обязат1B22B22ельствам составит порядка "&amp;TEXT('Кредитный калькулятор'!D11,"# ###")&amp;" "&amp;Анализ!D6,0)</f>
        <v>Средняя сумма ежемесячного платежа по Вашим обязат1B22B22ельствам составит порядка 6 392 грн.</v>
      </c>
      <c r="C22" s="124"/>
      <c r="D22" s="124"/>
      <c r="E22" s="124"/>
      <c r="F22" s="124"/>
      <c r="G22" s="124"/>
      <c r="H22" s="124"/>
      <c r="I22" s="124"/>
      <c r="J22" s="51"/>
      <c r="K22" s="51"/>
      <c r="L22" s="51"/>
      <c r="M22" s="51"/>
      <c r="N22" s="51"/>
      <c r="O22" s="51"/>
      <c r="P22" s="51"/>
      <c r="S22" s="43"/>
      <c r="T22" s="44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</row>
    <row r="23" customFormat="false" ht="17.25" hidden="false" customHeight="true" outlineLevel="0" collapsed="false">
      <c r="A23" s="39"/>
      <c r="B23" s="68" t="s">
        <v>177</v>
      </c>
      <c r="C23" s="68"/>
      <c r="D23" s="68"/>
      <c r="E23" s="68"/>
      <c r="F23" s="73"/>
      <c r="G23" s="73"/>
      <c r="H23" s="68" t="s">
        <v>178</v>
      </c>
      <c r="I23" s="68"/>
      <c r="J23" s="68"/>
      <c r="K23" s="125" t="str">
        <f aca="false">'План анализа'!C70</f>
        <v>Страхование имущества и оборудования</v>
      </c>
      <c r="L23" s="125"/>
      <c r="M23" s="125"/>
      <c r="N23" s="125"/>
      <c r="O23" s="125"/>
      <c r="P23" s="125"/>
      <c r="S23" s="43"/>
      <c r="T23" s="44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</row>
    <row r="24" customFormat="false" ht="15" hidden="false" customHeight="true" outlineLevel="0" collapsed="false">
      <c r="A24" s="39"/>
      <c r="B24" s="77" t="s">
        <v>179</v>
      </c>
      <c r="C24" s="77"/>
      <c r="D24" s="126"/>
      <c r="E24" s="73"/>
      <c r="F24" s="73"/>
      <c r="G24" s="73"/>
      <c r="H24" s="73"/>
      <c r="I24" s="73"/>
      <c r="J24" s="51"/>
      <c r="K24" s="51"/>
      <c r="L24" s="51"/>
      <c r="M24" s="51"/>
      <c r="N24" s="51"/>
      <c r="O24" s="51"/>
      <c r="P24" s="51"/>
      <c r="R24" s="37"/>
      <c r="S24" s="43"/>
      <c r="T24" s="44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</row>
    <row r="25" customFormat="false" ht="15" hidden="false" customHeight="true" outlineLevel="0" collapsed="false">
      <c r="A25" s="48"/>
      <c r="B25" s="127" t="s">
        <v>180</v>
      </c>
      <c r="C25" s="127"/>
      <c r="D25" s="128" t="s">
        <v>181</v>
      </c>
      <c r="E25" s="129" t="str">
        <f aca="false">"Цена, "&amp;D6</f>
        <v>Цена, грн.</v>
      </c>
      <c r="F25" s="130" t="str">
        <f aca="false">"Стоимость, "&amp;D6</f>
        <v>Стоимость, грн.</v>
      </c>
      <c r="G25" s="130"/>
      <c r="H25" s="131" t="s">
        <v>182</v>
      </c>
      <c r="I25" s="132" t="s">
        <v>183</v>
      </c>
      <c r="J25" s="132"/>
      <c r="K25" s="130" t="str">
        <f aca="false">"Амортизационные отчисления, "&amp;D6&amp;"/мес."</f>
        <v>Амортизационные отчисления, грн./мес.</v>
      </c>
      <c r="L25" s="130"/>
      <c r="M25" s="127" t="s">
        <v>184</v>
      </c>
      <c r="N25" s="133" t="s">
        <v>185</v>
      </c>
      <c r="O25" s="134" t="s">
        <v>186</v>
      </c>
      <c r="P25" s="135" t="str">
        <f aca="false">"Затраты на электроэнергию, "&amp;D6&amp;"/мес."</f>
        <v>Затраты на электроэнергию, грн./мес.</v>
      </c>
      <c r="Q25" s="136" t="s">
        <v>187</v>
      </c>
      <c r="R25" s="137" t="s">
        <v>188</v>
      </c>
      <c r="S25" s="138"/>
      <c r="T25" s="138"/>
      <c r="U25" s="139"/>
      <c r="V25" s="138"/>
      <c r="W25" s="138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</row>
    <row r="26" customFormat="false" ht="15" hidden="false" customHeight="true" outlineLevel="0" collapsed="false">
      <c r="A26" s="48"/>
      <c r="B26" s="127"/>
      <c r="C26" s="127"/>
      <c r="D26" s="128"/>
      <c r="E26" s="129"/>
      <c r="F26" s="130"/>
      <c r="G26" s="130"/>
      <c r="H26" s="131"/>
      <c r="I26" s="132"/>
      <c r="J26" s="132"/>
      <c r="K26" s="130"/>
      <c r="L26" s="130"/>
      <c r="M26" s="127"/>
      <c r="N26" s="133"/>
      <c r="O26" s="134"/>
      <c r="P26" s="135"/>
      <c r="Q26" s="136" t="s">
        <v>189</v>
      </c>
      <c r="R26" s="137" t="n">
        <f aca="false">SUM(R28:R80)</f>
        <v>119250</v>
      </c>
      <c r="S26" s="137" t="n">
        <f aca="false">SUM(S28:S80)</f>
        <v>0</v>
      </c>
      <c r="T26" s="137" t="n">
        <f aca="false">SUM(T28:T80)</f>
        <v>0</v>
      </c>
      <c r="U26" s="137" t="n">
        <f aca="false">SUM(U28:U80)</f>
        <v>52500</v>
      </c>
      <c r="V26" s="137" t="n">
        <f aca="false">SUM(V28:V80)</f>
        <v>0</v>
      </c>
      <c r="W26" s="137" t="n">
        <f aca="false">SUM(W28:W80)</f>
        <v>0</v>
      </c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</row>
    <row r="27" customFormat="false" ht="15" hidden="false" customHeight="true" outlineLevel="0" collapsed="false">
      <c r="A27" s="48"/>
      <c r="B27" s="127"/>
      <c r="C27" s="127"/>
      <c r="D27" s="128"/>
      <c r="E27" s="129"/>
      <c r="F27" s="130"/>
      <c r="G27" s="130"/>
      <c r="H27" s="131"/>
      <c r="I27" s="132"/>
      <c r="J27" s="132"/>
      <c r="K27" s="130"/>
      <c r="L27" s="130"/>
      <c r="M27" s="127"/>
      <c r="N27" s="133"/>
      <c r="O27" s="134"/>
      <c r="P27" s="135"/>
      <c r="Q27" s="136" t="s">
        <v>190</v>
      </c>
      <c r="R27" s="137" t="s">
        <v>119</v>
      </c>
      <c r="S27" s="43" t="s">
        <v>123</v>
      </c>
      <c r="T27" s="43" t="s">
        <v>130</v>
      </c>
      <c r="U27" s="43" t="s">
        <v>133</v>
      </c>
      <c r="V27" s="43" t="s">
        <v>138</v>
      </c>
      <c r="W27" s="44" t="s">
        <v>143</v>
      </c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</row>
    <row r="28" customFormat="false" ht="15" hidden="false" customHeight="true" outlineLevel="0" collapsed="false">
      <c r="A28" s="48"/>
      <c r="B28" s="140" t="s">
        <v>191</v>
      </c>
      <c r="C28" s="140"/>
      <c r="D28" s="141" t="n">
        <v>1</v>
      </c>
      <c r="E28" s="142" t="n">
        <v>3000</v>
      </c>
      <c r="F28" s="143" t="n">
        <f aca="false">IF(D28=0,E28,D28*E28)</f>
        <v>3000</v>
      </c>
      <c r="G28" s="143"/>
      <c r="H28" s="141" t="s">
        <v>119</v>
      </c>
      <c r="I28" s="144" t="n">
        <v>36</v>
      </c>
      <c r="J28" s="144"/>
      <c r="K28" s="145" t="n">
        <f aca="false">IFERROR(F28/I28,0)</f>
        <v>83.3333333333333</v>
      </c>
      <c r="L28" s="145"/>
      <c r="M28" s="146" t="n">
        <v>1.5</v>
      </c>
      <c r="N28" s="147" t="n">
        <v>5</v>
      </c>
      <c r="O28" s="148" t="n">
        <f aca="false">N28*M28</f>
        <v>7.5</v>
      </c>
      <c r="P28" s="149" t="n">
        <f aca="false">O28*$D$58*$D$12*4</f>
        <v>315</v>
      </c>
      <c r="Q28" s="64" t="str">
        <f aca="false">"Собственные - "&amp;TEXT(R26,"# ###")&amp;" "&amp;D6</f>
        <v>Собственные - 119 250 грн.</v>
      </c>
      <c r="R28" s="150" t="n">
        <f aca="false">IF(H28="Собственные",E28,0)</f>
        <v>3000</v>
      </c>
      <c r="S28" s="43" t="n">
        <f aca="false">IF(H28="Инвестор",E28,0)</f>
        <v>0</v>
      </c>
      <c r="T28" s="43" t="n">
        <f aca="false">IF(H28="Партнер",E28,0)</f>
        <v>0</v>
      </c>
      <c r="U28" s="44" t="n">
        <f aca="false">IF(H28="Кредит",E28,0)</f>
        <v>0</v>
      </c>
      <c r="V28" s="43" t="n">
        <f aca="false">IF(H28="Лизинг",E28,0)</f>
        <v>0</v>
      </c>
      <c r="W28" s="43" t="n">
        <f aca="false">IF(H28="Аренда",E28,0)</f>
        <v>0</v>
      </c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</row>
    <row r="29" customFormat="false" ht="15" hidden="false" customHeight="true" outlineLevel="0" collapsed="false">
      <c r="A29" s="48"/>
      <c r="B29" s="75" t="s">
        <v>192</v>
      </c>
      <c r="C29" s="75"/>
      <c r="D29" s="151" t="n">
        <v>1</v>
      </c>
      <c r="E29" s="152" t="n">
        <v>25000</v>
      </c>
      <c r="F29" s="153" t="n">
        <f aca="false">IF(D29=0,E29,D29*E29)</f>
        <v>25000</v>
      </c>
      <c r="G29" s="153"/>
      <c r="H29" s="151" t="s">
        <v>133</v>
      </c>
      <c r="I29" s="154" t="n">
        <v>12</v>
      </c>
      <c r="J29" s="154"/>
      <c r="K29" s="155" t="n">
        <f aca="false">IFERROR(F29/I29,0)</f>
        <v>2083.33333333333</v>
      </c>
      <c r="L29" s="155"/>
      <c r="M29" s="156" t="s">
        <v>193</v>
      </c>
      <c r="N29" s="157" t="n">
        <v>12</v>
      </c>
      <c r="O29" s="158" t="n">
        <f aca="false">N30*M30</f>
        <v>18</v>
      </c>
      <c r="P29" s="159" t="n">
        <f aca="false">O29*$D$58*$D$12*4</f>
        <v>756</v>
      </c>
      <c r="Q29" s="64" t="str">
        <f aca="false">"Инвестор - "&amp;TEXT(S26,"# ###")&amp;" "&amp;D6</f>
        <v>Инвестор -  грн.</v>
      </c>
      <c r="R29" s="160" t="n">
        <f aca="false">IF(H29="Собственные",E29,0)</f>
        <v>0</v>
      </c>
      <c r="S29" s="43" t="n">
        <f aca="false">IF(H29="Инвестор",E29,0)</f>
        <v>0</v>
      </c>
      <c r="T29" s="43" t="n">
        <f aca="false">IF(H29="Партнер",E29,0)</f>
        <v>0</v>
      </c>
      <c r="U29" s="44" t="n">
        <f aca="false">IF(H29="Кредит",E29,0)</f>
        <v>25000</v>
      </c>
      <c r="V29" s="43" t="n">
        <f aca="false">IF(H29="Лизинг",E29,0)</f>
        <v>0</v>
      </c>
      <c r="W29" s="43" t="n">
        <f aca="false">IF(H29="Аренда",E29,0)</f>
        <v>0</v>
      </c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</row>
    <row r="30" customFormat="false" ht="15" hidden="false" customHeight="true" outlineLevel="0" collapsed="false">
      <c r="A30" s="48"/>
      <c r="B30" s="75" t="s">
        <v>194</v>
      </c>
      <c r="C30" s="75"/>
      <c r="D30" s="151" t="n">
        <v>1</v>
      </c>
      <c r="E30" s="152" t="n">
        <v>9000</v>
      </c>
      <c r="F30" s="153" t="n">
        <f aca="false">IF(D30=0,E30,D30*E30)</f>
        <v>9000</v>
      </c>
      <c r="G30" s="153"/>
      <c r="H30" s="151" t="s">
        <v>133</v>
      </c>
      <c r="I30" s="154" t="n">
        <v>36</v>
      </c>
      <c r="J30" s="154"/>
      <c r="K30" s="155" t="n">
        <f aca="false">IFERROR(F30/I30,0)</f>
        <v>250</v>
      </c>
      <c r="L30" s="155"/>
      <c r="M30" s="156" t="n">
        <v>1.5</v>
      </c>
      <c r="N30" s="157" t="n">
        <v>12</v>
      </c>
      <c r="O30" s="158" t="n">
        <f aca="false">N30*M30</f>
        <v>18</v>
      </c>
      <c r="P30" s="159" t="n">
        <f aca="false">O30*$D$58*$D$12*4</f>
        <v>756</v>
      </c>
      <c r="Q30" s="64" t="str">
        <f aca="false">"Партнер - "&amp;TEXT(T26,"# ###")&amp;" "&amp;D6</f>
        <v>Партнер -  грн.</v>
      </c>
      <c r="R30" s="160" t="n">
        <f aca="false">IF(H30="Собственные",E30,0)</f>
        <v>0</v>
      </c>
      <c r="S30" s="43" t="n">
        <f aca="false">IF(H30="Инвестор",E30,0)</f>
        <v>0</v>
      </c>
      <c r="T30" s="43" t="n">
        <f aca="false">IF(H30="Партнер",E30,0)</f>
        <v>0</v>
      </c>
      <c r="U30" s="44" t="n">
        <f aca="false">IF(H30="Кредит",E30,0)</f>
        <v>9000</v>
      </c>
      <c r="V30" s="43" t="n">
        <f aca="false">IF(H30="Лизинг",E30,0)</f>
        <v>0</v>
      </c>
      <c r="W30" s="43" t="n">
        <f aca="false">IF(H30="Аренда",E30,0)</f>
        <v>0</v>
      </c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</row>
    <row r="31" customFormat="false" ht="15" hidden="false" customHeight="true" outlineLevel="0" collapsed="false">
      <c r="A31" s="48"/>
      <c r="B31" s="75" t="s">
        <v>195</v>
      </c>
      <c r="C31" s="75"/>
      <c r="D31" s="151" t="n">
        <v>1</v>
      </c>
      <c r="E31" s="152" t="n">
        <v>1000</v>
      </c>
      <c r="F31" s="153" t="n">
        <f aca="false">IF(D31=0,E31,D31*E31)</f>
        <v>1000</v>
      </c>
      <c r="G31" s="153"/>
      <c r="H31" s="151" t="s">
        <v>119</v>
      </c>
      <c r="I31" s="154" t="n">
        <v>36</v>
      </c>
      <c r="J31" s="154"/>
      <c r="K31" s="155" t="n">
        <f aca="false">IFERROR(F31/I31,0)</f>
        <v>27.7777777777778</v>
      </c>
      <c r="L31" s="155"/>
      <c r="M31" s="156" t="n">
        <v>2</v>
      </c>
      <c r="N31" s="157" t="n">
        <v>2</v>
      </c>
      <c r="O31" s="158" t="n">
        <f aca="false">N31*M31</f>
        <v>4</v>
      </c>
      <c r="P31" s="159" t="n">
        <f aca="false">O31*$D$58*$D$12*4</f>
        <v>168</v>
      </c>
      <c r="Q31" s="64" t="str">
        <f aca="false">"Кредит - "&amp;TEXT(U26,"# ###")&amp;" "&amp;D6</f>
        <v>Кредит - 52 500 грн.</v>
      </c>
      <c r="R31" s="160" t="n">
        <f aca="false">IF(H31="Собственные",E31,0)</f>
        <v>1000</v>
      </c>
      <c r="S31" s="43" t="n">
        <f aca="false">IF(H31="Инвестор",E31,0)</f>
        <v>0</v>
      </c>
      <c r="T31" s="43" t="n">
        <f aca="false">IF(H31="Партнер",E31,0)</f>
        <v>0</v>
      </c>
      <c r="U31" s="44" t="n">
        <f aca="false">IF(H31="Кредит",E31,0)</f>
        <v>0</v>
      </c>
      <c r="V31" s="43" t="n">
        <f aca="false">IF(H31="Лизинг",E31,0)</f>
        <v>0</v>
      </c>
      <c r="W31" s="43" t="n">
        <f aca="false">IF(H31="Аренда",E31,0)</f>
        <v>0</v>
      </c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</row>
    <row r="32" customFormat="false" ht="15" hidden="false" customHeight="true" outlineLevel="0" collapsed="false">
      <c r="A32" s="48"/>
      <c r="B32" s="75"/>
      <c r="C32" s="75"/>
      <c r="D32" s="151"/>
      <c r="E32" s="152"/>
      <c r="F32" s="153"/>
      <c r="G32" s="153"/>
      <c r="H32" s="151"/>
      <c r="I32" s="154"/>
      <c r="J32" s="154"/>
      <c r="K32" s="155"/>
      <c r="L32" s="155"/>
      <c r="M32" s="156"/>
      <c r="N32" s="157"/>
      <c r="O32" s="158"/>
      <c r="P32" s="159"/>
      <c r="Q32" s="64"/>
      <c r="R32" s="160"/>
      <c r="S32" s="43"/>
      <c r="T32" s="43"/>
      <c r="U32" s="44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</row>
    <row r="33" customFormat="false" ht="15" hidden="false" customHeight="true" outlineLevel="0" collapsed="false">
      <c r="A33" s="48"/>
      <c r="B33" s="75" t="s">
        <v>196</v>
      </c>
      <c r="C33" s="75"/>
      <c r="D33" s="151" t="n">
        <v>1</v>
      </c>
      <c r="E33" s="152" t="n">
        <v>18500</v>
      </c>
      <c r="F33" s="153" t="n">
        <f aca="false">IF(D33=0,E33,D33*E33)</f>
        <v>18500</v>
      </c>
      <c r="G33" s="153"/>
      <c r="H33" s="151" t="s">
        <v>133</v>
      </c>
      <c r="I33" s="154" t="n">
        <v>36</v>
      </c>
      <c r="J33" s="154"/>
      <c r="K33" s="155" t="n">
        <f aca="false">IFERROR(F33/I33,0)</f>
        <v>513.888888888889</v>
      </c>
      <c r="L33" s="155"/>
      <c r="M33" s="156" t="n">
        <v>1</v>
      </c>
      <c r="N33" s="157" t="n">
        <v>5</v>
      </c>
      <c r="O33" s="158" t="n">
        <f aca="false">N33*M33</f>
        <v>5</v>
      </c>
      <c r="P33" s="159" t="n">
        <f aca="false">O33*$D$58*$D$12*4</f>
        <v>210</v>
      </c>
      <c r="Q33" s="161" t="str">
        <f aca="false">"Аренда - "&amp;TEXT(W26,"# ###")&amp;" "&amp;D6</f>
        <v>Аренда -  грн.</v>
      </c>
      <c r="R33" s="160" t="n">
        <f aca="false">IF(H33="Собственные",E33,0)</f>
        <v>0</v>
      </c>
      <c r="S33" s="43" t="n">
        <f aca="false">IF(H33="Инвестор",E33,0)</f>
        <v>0</v>
      </c>
      <c r="T33" s="43" t="n">
        <f aca="false">IF(H33="Партнер",E33,0)</f>
        <v>0</v>
      </c>
      <c r="U33" s="44" t="n">
        <f aca="false">IF(H33="Кредит",E33,0)</f>
        <v>18500</v>
      </c>
      <c r="V33" s="43" t="n">
        <f aca="false">IF(H33="Лизинг",E33,0)</f>
        <v>0</v>
      </c>
      <c r="W33" s="43" t="n">
        <f aca="false">IF(H33="Аренда",E33,0)</f>
        <v>0</v>
      </c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</row>
    <row r="34" customFormat="false" ht="15" hidden="false" customHeight="true" outlineLevel="0" collapsed="false">
      <c r="A34" s="48"/>
      <c r="B34" s="75"/>
      <c r="C34" s="75"/>
      <c r="D34" s="151"/>
      <c r="E34" s="152"/>
      <c r="F34" s="153"/>
      <c r="G34" s="153"/>
      <c r="H34" s="151"/>
      <c r="I34" s="154"/>
      <c r="J34" s="154"/>
      <c r="K34" s="155"/>
      <c r="L34" s="155"/>
      <c r="M34" s="156"/>
      <c r="N34" s="157"/>
      <c r="O34" s="158"/>
      <c r="P34" s="159"/>
      <c r="Q34" s="162"/>
      <c r="R34" s="160"/>
      <c r="S34" s="43"/>
      <c r="T34" s="43"/>
      <c r="U34" s="44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</row>
    <row r="35" customFormat="false" ht="15" hidden="false" customHeight="true" outlineLevel="0" collapsed="false">
      <c r="A35" s="48"/>
      <c r="B35" s="75"/>
      <c r="C35" s="75"/>
      <c r="D35" s="151"/>
      <c r="E35" s="152"/>
      <c r="F35" s="153"/>
      <c r="G35" s="153"/>
      <c r="H35" s="151"/>
      <c r="I35" s="154"/>
      <c r="J35" s="154"/>
      <c r="K35" s="155"/>
      <c r="L35" s="155"/>
      <c r="M35" s="156"/>
      <c r="N35" s="157"/>
      <c r="O35" s="158"/>
      <c r="P35" s="159"/>
      <c r="Q35" s="163"/>
      <c r="R35" s="160"/>
      <c r="S35" s="43"/>
      <c r="T35" s="43"/>
      <c r="U35" s="44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</row>
    <row r="36" customFormat="false" ht="15" hidden="false" customHeight="true" outlineLevel="0" collapsed="false">
      <c r="A36" s="48"/>
      <c r="B36" s="75"/>
      <c r="C36" s="75"/>
      <c r="D36" s="151"/>
      <c r="E36" s="152"/>
      <c r="F36" s="153"/>
      <c r="G36" s="153"/>
      <c r="H36" s="151"/>
      <c r="I36" s="154"/>
      <c r="J36" s="154"/>
      <c r="K36" s="155"/>
      <c r="L36" s="155"/>
      <c r="M36" s="156"/>
      <c r="N36" s="157"/>
      <c r="O36" s="158"/>
      <c r="P36" s="159"/>
      <c r="Q36" s="163"/>
      <c r="R36" s="160"/>
      <c r="S36" s="43"/>
      <c r="T36" s="43"/>
      <c r="U36" s="44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</row>
    <row r="37" customFormat="false" ht="15" hidden="false" customHeight="true" outlineLevel="0" collapsed="false">
      <c r="A37" s="48"/>
      <c r="B37" s="75"/>
      <c r="C37" s="75"/>
      <c r="D37" s="151"/>
      <c r="E37" s="152"/>
      <c r="F37" s="153"/>
      <c r="G37" s="153"/>
      <c r="H37" s="151"/>
      <c r="I37" s="154"/>
      <c r="J37" s="154"/>
      <c r="K37" s="155"/>
      <c r="L37" s="155"/>
      <c r="M37" s="156"/>
      <c r="N37" s="157"/>
      <c r="O37" s="158"/>
      <c r="P37" s="159"/>
      <c r="Q37" s="163"/>
      <c r="R37" s="160"/>
      <c r="S37" s="43"/>
      <c r="T37" s="43"/>
      <c r="U37" s="44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</row>
    <row r="38" customFormat="false" ht="15" hidden="false" customHeight="true" outlineLevel="0" collapsed="false">
      <c r="A38" s="48"/>
      <c r="B38" s="75"/>
      <c r="C38" s="75"/>
      <c r="D38" s="151"/>
      <c r="E38" s="152"/>
      <c r="F38" s="153"/>
      <c r="G38" s="153"/>
      <c r="H38" s="151"/>
      <c r="I38" s="154"/>
      <c r="J38" s="154"/>
      <c r="K38" s="155"/>
      <c r="L38" s="155"/>
      <c r="M38" s="156"/>
      <c r="N38" s="157"/>
      <c r="O38" s="158"/>
      <c r="P38" s="164"/>
      <c r="Q38" s="163"/>
      <c r="R38" s="160"/>
      <c r="S38" s="43"/>
      <c r="T38" s="43"/>
      <c r="U38" s="44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</row>
    <row r="39" customFormat="false" ht="15" hidden="false" customHeight="true" outlineLevel="0" collapsed="false">
      <c r="A39" s="48"/>
      <c r="B39" s="75" t="s">
        <v>197</v>
      </c>
      <c r="C39" s="75"/>
      <c r="D39" s="151" t="n">
        <v>1</v>
      </c>
      <c r="E39" s="152" t="n">
        <v>6500</v>
      </c>
      <c r="F39" s="153" t="n">
        <f aca="false">IF(D39=0,E39,D39*E39)</f>
        <v>6500</v>
      </c>
      <c r="G39" s="153"/>
      <c r="H39" s="151" t="s">
        <v>119</v>
      </c>
      <c r="I39" s="154" t="n">
        <v>36</v>
      </c>
      <c r="J39" s="154"/>
      <c r="K39" s="155" t="n">
        <f aca="false">IFERROR(F39/I39,0)</f>
        <v>180.555555555556</v>
      </c>
      <c r="L39" s="155"/>
      <c r="M39" s="156" t="n">
        <v>0.4</v>
      </c>
      <c r="N39" s="157" t="n">
        <v>2</v>
      </c>
      <c r="O39" s="158" t="n">
        <f aca="false">N39*M39</f>
        <v>0.8</v>
      </c>
      <c r="P39" s="164" t="n">
        <f aca="false">O39*$D$58*$D$12*4</f>
        <v>33.6</v>
      </c>
      <c r="Q39" s="163"/>
      <c r="R39" s="160" t="n">
        <f aca="false">IF(H39="Собственные",E39,0)</f>
        <v>6500</v>
      </c>
      <c r="S39" s="43" t="n">
        <f aca="false">IF(H39="Инвестор",E39,0)</f>
        <v>0</v>
      </c>
      <c r="T39" s="43" t="n">
        <f aca="false">IF(H39="Партнер",E39,0)</f>
        <v>0</v>
      </c>
      <c r="U39" s="44" t="n">
        <f aca="false">IF(H39="Кредит",E39,0)</f>
        <v>0</v>
      </c>
      <c r="V39" s="43" t="n">
        <f aca="false">IF(H39="Лизинг",E39,0)</f>
        <v>0</v>
      </c>
      <c r="W39" s="43" t="n">
        <f aca="false">IF(H39="Аренда",E39,0)</f>
        <v>0</v>
      </c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</row>
    <row r="40" customFormat="false" ht="15" hidden="false" customHeight="true" outlineLevel="0" collapsed="false">
      <c r="A40" s="48"/>
      <c r="B40" s="75"/>
      <c r="C40" s="75"/>
      <c r="D40" s="151"/>
      <c r="E40" s="152"/>
      <c r="F40" s="153"/>
      <c r="G40" s="153"/>
      <c r="H40" s="151"/>
      <c r="I40" s="154"/>
      <c r="J40" s="154"/>
      <c r="K40" s="155"/>
      <c r="L40" s="155"/>
      <c r="M40" s="156"/>
      <c r="N40" s="157"/>
      <c r="O40" s="158"/>
      <c r="P40" s="164"/>
      <c r="Q40" s="163"/>
      <c r="R40" s="160"/>
      <c r="S40" s="43"/>
      <c r="T40" s="43"/>
      <c r="U40" s="44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</row>
    <row r="41" customFormat="false" ht="15" hidden="false" customHeight="true" outlineLevel="0" collapsed="false">
      <c r="A41" s="48"/>
      <c r="B41" s="75" t="s">
        <v>198</v>
      </c>
      <c r="C41" s="75"/>
      <c r="D41" s="151" t="n">
        <v>1</v>
      </c>
      <c r="E41" s="152" t="n">
        <v>2000</v>
      </c>
      <c r="F41" s="153" t="n">
        <f aca="false">IF(D41=0,E41,D41*E41)</f>
        <v>2000</v>
      </c>
      <c r="G41" s="153"/>
      <c r="H41" s="151" t="s">
        <v>119</v>
      </c>
      <c r="I41" s="154" t="n">
        <v>36</v>
      </c>
      <c r="J41" s="154"/>
      <c r="K41" s="155" t="n">
        <f aca="false">IFERROR(F41/I41,0)</f>
        <v>55.5555555555556</v>
      </c>
      <c r="L41" s="155"/>
      <c r="M41" s="156" t="n">
        <v>0.3</v>
      </c>
      <c r="N41" s="157" t="n">
        <v>12</v>
      </c>
      <c r="O41" s="158" t="n">
        <f aca="false">N41*M41</f>
        <v>3.6</v>
      </c>
      <c r="P41" s="164" t="n">
        <f aca="false">O41*$D$58*$D$12*4</f>
        <v>151.2</v>
      </c>
      <c r="Q41" s="163"/>
      <c r="R41" s="160" t="n">
        <f aca="false">IF(H41="Собственные",E41,0)</f>
        <v>2000</v>
      </c>
      <c r="S41" s="43" t="n">
        <f aca="false">IF(H41="Инвестор",E41,0)</f>
        <v>0</v>
      </c>
      <c r="T41" s="43" t="n">
        <f aca="false">IF(H41="Партнер",E41,0)</f>
        <v>0</v>
      </c>
      <c r="U41" s="44" t="n">
        <f aca="false">IF(H41="Кредит",E41,0)</f>
        <v>0</v>
      </c>
      <c r="V41" s="43" t="n">
        <f aca="false">IF(H41="Лизинг",E41,0)</f>
        <v>0</v>
      </c>
      <c r="W41" s="43" t="n">
        <f aca="false">IF(H41="Аренда",E41,0)</f>
        <v>0</v>
      </c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</row>
    <row r="42" customFormat="false" ht="15" hidden="false" customHeight="true" outlineLevel="0" collapsed="false">
      <c r="A42" s="48"/>
      <c r="B42" s="75" t="s">
        <v>199</v>
      </c>
      <c r="C42" s="75"/>
      <c r="D42" s="151" t="n">
        <v>1</v>
      </c>
      <c r="E42" s="152" t="n">
        <v>22000</v>
      </c>
      <c r="F42" s="153" t="n">
        <f aca="false">IF(D42=0,E42,D42*E42)</f>
        <v>22000</v>
      </c>
      <c r="G42" s="153"/>
      <c r="H42" s="151" t="s">
        <v>119</v>
      </c>
      <c r="I42" s="154" t="n">
        <v>36</v>
      </c>
      <c r="J42" s="154"/>
      <c r="K42" s="155" t="n">
        <f aca="false">IFERROR(F42/I42,0)</f>
        <v>611.111111111111</v>
      </c>
      <c r="L42" s="155"/>
      <c r="M42" s="156" t="n">
        <v>0.25</v>
      </c>
      <c r="N42" s="157" t="n">
        <v>12</v>
      </c>
      <c r="O42" s="158" t="n">
        <f aca="false">N42*M42</f>
        <v>3</v>
      </c>
      <c r="P42" s="164" t="n">
        <f aca="false">O42*$D$58*$D$12*4</f>
        <v>126</v>
      </c>
      <c r="Q42" s="163"/>
      <c r="R42" s="160" t="n">
        <f aca="false">IF(H42="Собственные",E42,0)</f>
        <v>22000</v>
      </c>
      <c r="S42" s="43" t="n">
        <f aca="false">IF(H42="Инвестор",E42,0)</f>
        <v>0</v>
      </c>
      <c r="T42" s="43" t="n">
        <f aca="false">IF(H42="Партнер",E42,0)</f>
        <v>0</v>
      </c>
      <c r="U42" s="44" t="n">
        <f aca="false">IF(H42="Кредит",E42,0)</f>
        <v>0</v>
      </c>
      <c r="V42" s="43" t="n">
        <f aca="false">IF(H42="Лизинг",E42,0)</f>
        <v>0</v>
      </c>
      <c r="W42" s="43" t="n">
        <f aca="false">IF(H42="Аренда",E42,0)</f>
        <v>0</v>
      </c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</row>
    <row r="43" customFormat="false" ht="15" hidden="false" customHeight="true" outlineLevel="0" collapsed="false">
      <c r="A43" s="48"/>
      <c r="B43" s="75" t="s">
        <v>200</v>
      </c>
      <c r="C43" s="75"/>
      <c r="D43" s="151" t="n">
        <v>1</v>
      </c>
      <c r="E43" s="152" t="n">
        <v>12000</v>
      </c>
      <c r="F43" s="153" t="n">
        <f aca="false">IF(D43=0,E43,D43*E43)</f>
        <v>12000</v>
      </c>
      <c r="G43" s="153"/>
      <c r="H43" s="151" t="s">
        <v>119</v>
      </c>
      <c r="I43" s="154" t="n">
        <v>36</v>
      </c>
      <c r="J43" s="154"/>
      <c r="K43" s="155" t="n">
        <f aca="false">IFERROR(F43/I43,0)</f>
        <v>333.333333333333</v>
      </c>
      <c r="L43" s="155"/>
      <c r="M43" s="156" t="n">
        <v>0.1</v>
      </c>
      <c r="N43" s="157" t="n">
        <v>24</v>
      </c>
      <c r="O43" s="158" t="n">
        <f aca="false">N43*M43</f>
        <v>2.4</v>
      </c>
      <c r="P43" s="164" t="n">
        <f aca="false">O43*$D$58*$D$12*4</f>
        <v>100.8</v>
      </c>
      <c r="Q43" s="163"/>
      <c r="R43" s="160" t="n">
        <f aca="false">IF(H43="Собственные",E43,0)</f>
        <v>12000</v>
      </c>
      <c r="S43" s="43" t="n">
        <f aca="false">IF(H43="Инвестор",E43,0)</f>
        <v>0</v>
      </c>
      <c r="T43" s="43" t="n">
        <f aca="false">IF(H43="Партнер",E43,0)</f>
        <v>0</v>
      </c>
      <c r="U43" s="44" t="n">
        <f aca="false">IF(H43="Кредит",E43,0)</f>
        <v>0</v>
      </c>
      <c r="V43" s="43" t="n">
        <f aca="false">IF(H43="Лизинг",E43,0)</f>
        <v>0</v>
      </c>
      <c r="W43" s="43" t="n">
        <f aca="false">IF(H43="Аренда",E43,0)</f>
        <v>0</v>
      </c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</row>
    <row r="44" customFormat="false" ht="15" hidden="false" customHeight="true" outlineLevel="0" collapsed="false">
      <c r="A44" s="48"/>
      <c r="B44" s="75" t="s">
        <v>201</v>
      </c>
      <c r="C44" s="75"/>
      <c r="D44" s="151" t="n">
        <v>1</v>
      </c>
      <c r="E44" s="152" t="n">
        <v>3000</v>
      </c>
      <c r="F44" s="153" t="n">
        <f aca="false">IF(D44=0,E44,D44*E44)</f>
        <v>3000</v>
      </c>
      <c r="G44" s="153"/>
      <c r="H44" s="151" t="s">
        <v>119</v>
      </c>
      <c r="I44" s="154" t="n">
        <v>36</v>
      </c>
      <c r="J44" s="154"/>
      <c r="K44" s="155" t="n">
        <f aca="false">IFERROR(F44/I44,0)</f>
        <v>83.3333333333333</v>
      </c>
      <c r="L44" s="155"/>
      <c r="M44" s="156" t="n">
        <v>1.2</v>
      </c>
      <c r="N44" s="157" t="n">
        <v>8</v>
      </c>
      <c r="O44" s="158" t="n">
        <f aca="false">N44*M44</f>
        <v>9.6</v>
      </c>
      <c r="P44" s="164" t="n">
        <f aca="false">O44*$D$58*$D$12*4</f>
        <v>403.2</v>
      </c>
      <c r="Q44" s="163"/>
      <c r="R44" s="160" t="n">
        <f aca="false">IF(H44="Собственные",E44,0)</f>
        <v>3000</v>
      </c>
      <c r="S44" s="43" t="n">
        <f aca="false">IF(H44="Инвестор",E44,0)</f>
        <v>0</v>
      </c>
      <c r="T44" s="43" t="n">
        <f aca="false">IF(H44="Партнер",E44,0)</f>
        <v>0</v>
      </c>
      <c r="U44" s="44" t="n">
        <f aca="false">IF(H44="Кредит",E44,0)</f>
        <v>0</v>
      </c>
      <c r="V44" s="43" t="n">
        <f aca="false">IF(H44="Лизинг",E44,0)</f>
        <v>0</v>
      </c>
      <c r="W44" s="43" t="n">
        <f aca="false">IF(H44="Аренда",E44,0)</f>
        <v>0</v>
      </c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</row>
    <row r="45" customFormat="false" ht="15" hidden="false" customHeight="true" outlineLevel="0" collapsed="false">
      <c r="A45" s="48"/>
      <c r="B45" s="75"/>
      <c r="C45" s="75"/>
      <c r="D45" s="151"/>
      <c r="E45" s="152"/>
      <c r="F45" s="153"/>
      <c r="G45" s="153"/>
      <c r="H45" s="151"/>
      <c r="I45" s="154"/>
      <c r="J45" s="154"/>
      <c r="K45" s="155"/>
      <c r="L45" s="155"/>
      <c r="M45" s="156"/>
      <c r="N45" s="157"/>
      <c r="O45" s="158"/>
      <c r="P45" s="164"/>
      <c r="Q45" s="163"/>
      <c r="R45" s="160"/>
      <c r="S45" s="43"/>
      <c r="T45" s="43"/>
      <c r="U45" s="44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</row>
    <row r="46" customFormat="false" ht="15" hidden="false" customHeight="true" outlineLevel="0" collapsed="false">
      <c r="A46" s="48"/>
      <c r="B46" s="75"/>
      <c r="C46" s="75"/>
      <c r="D46" s="151"/>
      <c r="E46" s="152"/>
      <c r="F46" s="153"/>
      <c r="G46" s="153"/>
      <c r="H46" s="151"/>
      <c r="I46" s="154"/>
      <c r="J46" s="154"/>
      <c r="K46" s="155"/>
      <c r="L46" s="155"/>
      <c r="M46" s="156"/>
      <c r="N46" s="157"/>
      <c r="O46" s="158"/>
      <c r="P46" s="164"/>
      <c r="Q46" s="163"/>
      <c r="R46" s="160"/>
      <c r="S46" s="43"/>
      <c r="T46" s="43"/>
      <c r="U46" s="44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</row>
    <row r="47" customFormat="false" ht="15" hidden="false" customHeight="true" outlineLevel="0" collapsed="false">
      <c r="A47" s="48"/>
      <c r="B47" s="75"/>
      <c r="C47" s="75"/>
      <c r="D47" s="151"/>
      <c r="E47" s="152"/>
      <c r="F47" s="153"/>
      <c r="G47" s="153"/>
      <c r="H47" s="151"/>
      <c r="I47" s="154"/>
      <c r="J47" s="154"/>
      <c r="K47" s="155"/>
      <c r="L47" s="155"/>
      <c r="M47" s="156"/>
      <c r="N47" s="157"/>
      <c r="O47" s="158"/>
      <c r="P47" s="164"/>
      <c r="Q47" s="163"/>
      <c r="R47" s="160"/>
      <c r="S47" s="43"/>
      <c r="T47" s="43"/>
      <c r="U47" s="44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</row>
    <row r="48" customFormat="false" ht="15" hidden="false" customHeight="true" outlineLevel="0" collapsed="false">
      <c r="A48" s="48"/>
      <c r="B48" s="75" t="s">
        <v>202</v>
      </c>
      <c r="C48" s="75"/>
      <c r="D48" s="151" t="n">
        <v>1</v>
      </c>
      <c r="E48" s="152" t="n">
        <v>2000</v>
      </c>
      <c r="F48" s="153" t="n">
        <f aca="false">IF(D48=0,E48,D48*E48)</f>
        <v>2000</v>
      </c>
      <c r="G48" s="153"/>
      <c r="H48" s="151" t="s">
        <v>119</v>
      </c>
      <c r="I48" s="154" t="n">
        <v>36</v>
      </c>
      <c r="J48" s="154"/>
      <c r="K48" s="155" t="n">
        <f aca="false">IFERROR(F48/I48,0)</f>
        <v>55.5555555555556</v>
      </c>
      <c r="L48" s="155"/>
      <c r="M48" s="156"/>
      <c r="N48" s="157"/>
      <c r="O48" s="158" t="n">
        <f aca="false">N48*M48</f>
        <v>0</v>
      </c>
      <c r="P48" s="164" t="n">
        <f aca="false">O48*$D$58*$D$12*4</f>
        <v>0</v>
      </c>
      <c r="Q48" s="163"/>
      <c r="R48" s="160" t="n">
        <f aca="false">IF(H48="Собственные",E48,0)</f>
        <v>2000</v>
      </c>
      <c r="S48" s="43" t="n">
        <f aca="false">IF(H48="Инвестор",E48,0)</f>
        <v>0</v>
      </c>
      <c r="T48" s="43" t="n">
        <f aca="false">IF(H48="Партнер",E48,0)</f>
        <v>0</v>
      </c>
      <c r="U48" s="44" t="n">
        <f aca="false">IF(H48="Кредит",E48,0)</f>
        <v>0</v>
      </c>
      <c r="V48" s="43" t="n">
        <f aca="false">IF(H48="Лизинг",E48,0)</f>
        <v>0</v>
      </c>
      <c r="W48" s="43" t="n">
        <f aca="false">IF(H48="Аренда",E48,0)</f>
        <v>0</v>
      </c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</row>
    <row r="49" customFormat="false" ht="15" hidden="false" customHeight="true" outlineLevel="0" collapsed="false">
      <c r="A49" s="48"/>
      <c r="B49" s="75" t="s">
        <v>203</v>
      </c>
      <c r="C49" s="75"/>
      <c r="D49" s="151" t="n">
        <v>1</v>
      </c>
      <c r="E49" s="152" t="n">
        <v>7000</v>
      </c>
      <c r="F49" s="153" t="n">
        <f aca="false">IF(D49=0,E49,D49*E49)</f>
        <v>7000</v>
      </c>
      <c r="G49" s="153"/>
      <c r="H49" s="151" t="s">
        <v>119</v>
      </c>
      <c r="I49" s="154" t="n">
        <v>36</v>
      </c>
      <c r="J49" s="154"/>
      <c r="K49" s="155" t="n">
        <f aca="false">IFERROR(F49/I49,0)</f>
        <v>194.444444444444</v>
      </c>
      <c r="L49" s="155"/>
      <c r="M49" s="156"/>
      <c r="N49" s="157"/>
      <c r="O49" s="158" t="n">
        <f aca="false">N49*M49</f>
        <v>0</v>
      </c>
      <c r="P49" s="164" t="n">
        <f aca="false">O49*$D$58*$D$12*4</f>
        <v>0</v>
      </c>
      <c r="Q49" s="163"/>
      <c r="R49" s="160" t="n">
        <f aca="false">IF(H49="Собственные",E49,0)</f>
        <v>7000</v>
      </c>
      <c r="S49" s="43" t="n">
        <f aca="false">IF(H49="Инвестор",E49,0)</f>
        <v>0</v>
      </c>
      <c r="T49" s="43" t="n">
        <f aca="false">IF(H49="Партнер",E49,0)</f>
        <v>0</v>
      </c>
      <c r="U49" s="44" t="n">
        <f aca="false">IF(H49="Кредит",E49,0)</f>
        <v>0</v>
      </c>
      <c r="V49" s="43" t="n">
        <f aca="false">IF(H49="Лизинг",E49,0)</f>
        <v>0</v>
      </c>
      <c r="W49" s="43" t="n">
        <f aca="false">IF(H49="Аренда",E49,0)</f>
        <v>0</v>
      </c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</row>
    <row r="50" customFormat="false" ht="15" hidden="false" customHeight="true" outlineLevel="0" collapsed="false">
      <c r="A50" s="48"/>
      <c r="B50" s="75"/>
      <c r="C50" s="75"/>
      <c r="D50" s="151"/>
      <c r="E50" s="152"/>
      <c r="F50" s="153"/>
      <c r="G50" s="153"/>
      <c r="H50" s="151"/>
      <c r="I50" s="154"/>
      <c r="J50" s="154"/>
      <c r="K50" s="155"/>
      <c r="L50" s="155"/>
      <c r="M50" s="156"/>
      <c r="N50" s="157"/>
      <c r="O50" s="158"/>
      <c r="P50" s="164"/>
      <c r="Q50" s="163"/>
      <c r="R50" s="160"/>
      <c r="S50" s="43"/>
      <c r="T50" s="43"/>
      <c r="U50" s="44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</row>
    <row r="51" customFormat="false" ht="15" hidden="false" customHeight="true" outlineLevel="0" collapsed="false">
      <c r="A51" s="48"/>
      <c r="B51" s="75" t="s">
        <v>204</v>
      </c>
      <c r="C51" s="75"/>
      <c r="D51" s="151" t="n">
        <v>1</v>
      </c>
      <c r="E51" s="152" t="n">
        <v>7000</v>
      </c>
      <c r="F51" s="153" t="n">
        <f aca="false">IF(D51=0,E51,D51*E51)</f>
        <v>7000</v>
      </c>
      <c r="G51" s="153"/>
      <c r="H51" s="151" t="s">
        <v>119</v>
      </c>
      <c r="I51" s="154"/>
      <c r="J51" s="154"/>
      <c r="K51" s="155" t="n">
        <f aca="false">IFERROR(F51/I51,0)</f>
        <v>0</v>
      </c>
      <c r="L51" s="155"/>
      <c r="M51" s="156"/>
      <c r="N51" s="157"/>
      <c r="O51" s="158" t="n">
        <f aca="false">N51*M51</f>
        <v>0</v>
      </c>
      <c r="P51" s="164" t="n">
        <f aca="false">O51*$D$58*$D$12*4</f>
        <v>0</v>
      </c>
      <c r="Q51" s="163"/>
      <c r="R51" s="160" t="n">
        <f aca="false">IF(H51="Собственные",E51,0)</f>
        <v>7000</v>
      </c>
      <c r="S51" s="43" t="n">
        <f aca="false">IF(H51="Инвестор",E51,0)</f>
        <v>0</v>
      </c>
      <c r="T51" s="43" t="n">
        <f aca="false">IF(H51="Партнер",E51,0)</f>
        <v>0</v>
      </c>
      <c r="U51" s="44" t="n">
        <f aca="false">IF(H51="Кредит",E51,0)</f>
        <v>0</v>
      </c>
      <c r="V51" s="43" t="n">
        <f aca="false">IF(H51="Лизинг",E51,0)</f>
        <v>0</v>
      </c>
      <c r="W51" s="43" t="n">
        <f aca="false">IF(H51="Аренда",E51,0)</f>
        <v>0</v>
      </c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</row>
    <row r="52" customFormat="false" ht="15" hidden="false" customHeight="true" outlineLevel="0" collapsed="false">
      <c r="A52" s="48"/>
      <c r="B52" s="75" t="s">
        <v>205</v>
      </c>
      <c r="C52" s="75"/>
      <c r="D52" s="151"/>
      <c r="E52" s="152" t="n">
        <v>4000</v>
      </c>
      <c r="F52" s="153" t="n">
        <f aca="false">IF(D52=0,E52,D52*E52)</f>
        <v>4000</v>
      </c>
      <c r="G52" s="153"/>
      <c r="H52" s="151" t="s">
        <v>119</v>
      </c>
      <c r="I52" s="154"/>
      <c r="J52" s="154"/>
      <c r="K52" s="155" t="n">
        <f aca="false">IFERROR(F52/I52,0)</f>
        <v>0</v>
      </c>
      <c r="L52" s="155"/>
      <c r="M52" s="156" t="n">
        <v>2</v>
      </c>
      <c r="N52" s="157" t="n">
        <v>14</v>
      </c>
      <c r="O52" s="158" t="n">
        <f aca="false">N52*M52</f>
        <v>28</v>
      </c>
      <c r="P52" s="164" t="n">
        <f aca="false">O52*$D$58*$D$12*4</f>
        <v>1176</v>
      </c>
      <c r="Q52" s="163"/>
      <c r="R52" s="160" t="n">
        <f aca="false">IF(H52="Собственные",E52,0)</f>
        <v>4000</v>
      </c>
      <c r="S52" s="43" t="n">
        <f aca="false">IF(H52="Инвестор",E52,0)</f>
        <v>0</v>
      </c>
      <c r="T52" s="43" t="n">
        <f aca="false">IF(H52="Партнер",E52,0)</f>
        <v>0</v>
      </c>
      <c r="U52" s="44" t="n">
        <f aca="false">IF(H52="Кредит",E52,0)</f>
        <v>0</v>
      </c>
      <c r="V52" s="43" t="n">
        <f aca="false">IF(H52="Лизинг",E52,0)</f>
        <v>0</v>
      </c>
      <c r="W52" s="43" t="n">
        <f aca="false">IF(H52="Аренда",E52,0)</f>
        <v>0</v>
      </c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</row>
    <row r="53" customFormat="false" ht="15" hidden="false" customHeight="true" outlineLevel="0" collapsed="false">
      <c r="A53" s="48"/>
      <c r="B53" s="75" t="s">
        <v>206</v>
      </c>
      <c r="C53" s="75"/>
      <c r="D53" s="151"/>
      <c r="E53" s="152" t="n">
        <v>3000</v>
      </c>
      <c r="F53" s="153" t="n">
        <f aca="false">IF(D53=0,E53,D53*E53)</f>
        <v>3000</v>
      </c>
      <c r="G53" s="153"/>
      <c r="H53" s="151" t="s">
        <v>119</v>
      </c>
      <c r="I53" s="154"/>
      <c r="J53" s="154"/>
      <c r="K53" s="155" t="n">
        <f aca="false">IFERROR(F53/I53,0)</f>
        <v>0</v>
      </c>
      <c r="L53" s="155"/>
      <c r="M53" s="156"/>
      <c r="N53" s="157"/>
      <c r="O53" s="158" t="n">
        <f aca="false">N53*M53</f>
        <v>0</v>
      </c>
      <c r="P53" s="164" t="n">
        <f aca="false">O53*$D$58*$D$12*4</f>
        <v>0</v>
      </c>
      <c r="Q53" s="163"/>
      <c r="R53" s="160" t="n">
        <f aca="false">IF(H53="Собственные",E53,0)</f>
        <v>3000</v>
      </c>
      <c r="S53" s="43" t="n">
        <f aca="false">IF(H53="Инвестор",E53,0)</f>
        <v>0</v>
      </c>
      <c r="T53" s="43" t="n">
        <f aca="false">IF(H53="Партнер",E53,0)</f>
        <v>0</v>
      </c>
      <c r="U53" s="44" t="n">
        <f aca="false">IF(H53="Кредит",E53,0)</f>
        <v>0</v>
      </c>
      <c r="V53" s="43" t="n">
        <f aca="false">IF(H53="Лизинг",E53,0)</f>
        <v>0</v>
      </c>
      <c r="W53" s="43" t="n">
        <f aca="false">IF(H53="Аренда",E53,0)</f>
        <v>0</v>
      </c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</row>
    <row r="54" customFormat="false" ht="15" hidden="false" customHeight="true" outlineLevel="0" collapsed="false">
      <c r="A54" s="48"/>
      <c r="B54" s="75" t="s">
        <v>207</v>
      </c>
      <c r="C54" s="75"/>
      <c r="D54" s="151"/>
      <c r="E54" s="152" t="n">
        <v>7000</v>
      </c>
      <c r="F54" s="153" t="n">
        <f aca="false">IF(D54=0,E54,D54*E54)</f>
        <v>7000</v>
      </c>
      <c r="G54" s="153"/>
      <c r="H54" s="151" t="s">
        <v>119</v>
      </c>
      <c r="I54" s="154"/>
      <c r="J54" s="154"/>
      <c r="K54" s="155" t="n">
        <f aca="false">IFERROR(F54/I54,0)</f>
        <v>0</v>
      </c>
      <c r="L54" s="155"/>
      <c r="M54" s="156"/>
      <c r="N54" s="157"/>
      <c r="O54" s="158" t="n">
        <f aca="false">N54*M54</f>
        <v>0</v>
      </c>
      <c r="P54" s="164" t="n">
        <f aca="false">O54*$D$58*$D$12*4</f>
        <v>0</v>
      </c>
      <c r="Q54" s="163"/>
      <c r="R54" s="160" t="n">
        <f aca="false">IF(H54="Собственные",E54,0)</f>
        <v>7000</v>
      </c>
      <c r="S54" s="43" t="n">
        <f aca="false">IF(H54="Инвестор",E54,0)</f>
        <v>0</v>
      </c>
      <c r="T54" s="43" t="n">
        <f aca="false">IF(H54="Партнер",E54,0)</f>
        <v>0</v>
      </c>
      <c r="U54" s="44" t="n">
        <f aca="false">IF(H54="Кредит",E54,0)</f>
        <v>0</v>
      </c>
      <c r="V54" s="43" t="n">
        <f aca="false">IF(H54="Лизинг",E54,0)</f>
        <v>0</v>
      </c>
      <c r="W54" s="43" t="n">
        <f aca="false">IF(H54="Аренда",E54,0)</f>
        <v>0</v>
      </c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</row>
    <row r="55" customFormat="false" ht="15" hidden="false" customHeight="true" outlineLevel="0" collapsed="false">
      <c r="A55" s="48"/>
      <c r="B55" s="75"/>
      <c r="C55" s="75"/>
      <c r="D55" s="151"/>
      <c r="E55" s="152"/>
      <c r="F55" s="153" t="n">
        <f aca="false">IF(D55=0,E55,D55*E55)</f>
        <v>0</v>
      </c>
      <c r="G55" s="153"/>
      <c r="H55" s="165"/>
      <c r="I55" s="154"/>
      <c r="J55" s="154"/>
      <c r="K55" s="155" t="n">
        <f aca="false">IFERROR(F55/I55,0)</f>
        <v>0</v>
      </c>
      <c r="L55" s="155"/>
      <c r="M55" s="156"/>
      <c r="N55" s="157"/>
      <c r="O55" s="158" t="n">
        <f aca="false">N55*M55</f>
        <v>0</v>
      </c>
      <c r="P55" s="164" t="n">
        <f aca="false">O55*$D$58*$D$12*4</f>
        <v>0</v>
      </c>
      <c r="Q55" s="163"/>
      <c r="R55" s="160" t="n">
        <f aca="false">IF(H55="Собственные",E55,0)</f>
        <v>0</v>
      </c>
      <c r="S55" s="43" t="n">
        <f aca="false">IF(H55="Инвестор",E55,0)</f>
        <v>0</v>
      </c>
      <c r="T55" s="43" t="n">
        <f aca="false">IF(H55="Партнер",E55,0)</f>
        <v>0</v>
      </c>
      <c r="U55" s="44" t="n">
        <f aca="false">IF(H55="Кредит",E55,0)</f>
        <v>0</v>
      </c>
      <c r="V55" s="43" t="n">
        <f aca="false">IF(H55="Лизинг",E55,0)</f>
        <v>0</v>
      </c>
      <c r="W55" s="43" t="n">
        <f aca="false">IF(H55="Аренда",E55,0)</f>
        <v>0</v>
      </c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</row>
    <row r="56" customFormat="false" ht="15" hidden="false" customHeight="true" outlineLevel="0" collapsed="false">
      <c r="A56" s="48"/>
      <c r="B56" s="166" t="s">
        <v>208</v>
      </c>
      <c r="C56" s="166"/>
      <c r="D56" s="167"/>
      <c r="E56" s="168"/>
      <c r="F56" s="169" t="n">
        <f aca="false">SUM(F28:G55)</f>
        <v>132000</v>
      </c>
      <c r="G56" s="169"/>
      <c r="H56" s="170"/>
      <c r="I56" s="171"/>
      <c r="J56" s="171"/>
      <c r="K56" s="172" t="n">
        <f aca="false">SUM(K28:L55)</f>
        <v>4472.22222222222</v>
      </c>
      <c r="L56" s="172"/>
      <c r="M56" s="173" t="n">
        <f aca="false">SUM(M28:M55)</f>
        <v>10.25</v>
      </c>
      <c r="N56" s="174"/>
      <c r="O56" s="175" t="n">
        <f aca="false">SUM(O28:O55)</f>
        <v>99.9</v>
      </c>
      <c r="P56" s="176" t="n">
        <f aca="false">O56*$D$58*$D$12*4</f>
        <v>4195.8</v>
      </c>
      <c r="Q56" s="163"/>
      <c r="R56" s="160"/>
      <c r="S56" s="43"/>
      <c r="T56" s="43"/>
      <c r="U56" s="44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</row>
    <row r="57" customFormat="false" ht="3" hidden="false" customHeight="true" outlineLevel="0" collapsed="false">
      <c r="A57" s="39"/>
      <c r="B57" s="177"/>
      <c r="C57" s="177"/>
      <c r="D57" s="66"/>
      <c r="E57" s="39"/>
      <c r="F57" s="39"/>
      <c r="G57" s="39"/>
      <c r="H57" s="39"/>
      <c r="I57" s="51"/>
      <c r="J57" s="51"/>
      <c r="K57" s="51"/>
      <c r="L57" s="51"/>
      <c r="M57" s="51"/>
      <c r="N57" s="51"/>
      <c r="O57" s="51"/>
      <c r="P57" s="51"/>
      <c r="Q57" s="163"/>
      <c r="R57" s="160"/>
      <c r="S57" s="43"/>
      <c r="T57" s="43"/>
      <c r="U57" s="44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</row>
    <row r="58" customFormat="false" ht="15" hidden="false" customHeight="true" outlineLevel="0" collapsed="false">
      <c r="A58" s="39"/>
      <c r="B58" s="178" t="s">
        <v>209</v>
      </c>
      <c r="C58" s="178"/>
      <c r="D58" s="179" t="n">
        <v>1.5</v>
      </c>
      <c r="E58" s="180" t="str">
        <f aca="false">D6</f>
        <v>грн.</v>
      </c>
      <c r="F58" s="73"/>
      <c r="G58" s="73"/>
      <c r="H58" s="73"/>
      <c r="I58" s="73"/>
      <c r="J58" s="181" t="s">
        <v>210</v>
      </c>
      <c r="K58" s="181"/>
      <c r="L58" s="181"/>
      <c r="M58" s="181"/>
      <c r="N58" s="181"/>
      <c r="O58" s="182" t="n">
        <f aca="false">O56*30</f>
        <v>2997</v>
      </c>
      <c r="P58" s="183" t="s">
        <v>211</v>
      </c>
      <c r="Q58" s="163"/>
      <c r="R58" s="160"/>
      <c r="S58" s="43"/>
      <c r="T58" s="43"/>
      <c r="U58" s="44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</row>
    <row r="59" customFormat="false" ht="3.75" hidden="false" customHeight="true" outlineLevel="0" collapsed="false">
      <c r="A59" s="39"/>
      <c r="B59" s="177"/>
      <c r="C59" s="177"/>
      <c r="D59" s="66"/>
      <c r="E59" s="39"/>
      <c r="F59" s="39"/>
      <c r="G59" s="39"/>
      <c r="H59" s="39"/>
      <c r="I59" s="51"/>
      <c r="J59" s="51"/>
      <c r="K59" s="51"/>
      <c r="L59" s="51"/>
      <c r="M59" s="184"/>
      <c r="N59" s="184"/>
      <c r="O59" s="51"/>
      <c r="P59" s="51"/>
      <c r="Q59" s="163"/>
      <c r="R59" s="160"/>
      <c r="S59" s="43"/>
      <c r="T59" s="43"/>
      <c r="U59" s="44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</row>
    <row r="60" customFormat="false" ht="15" hidden="false" customHeight="true" outlineLevel="0" collapsed="false">
      <c r="A60" s="39"/>
      <c r="B60" s="65" t="s">
        <v>212</v>
      </c>
      <c r="C60" s="65"/>
      <c r="D60" s="65"/>
      <c r="E60" s="185"/>
      <c r="F60" s="185"/>
      <c r="G60" s="185"/>
      <c r="H60" s="185"/>
      <c r="I60" s="51"/>
      <c r="J60" s="51"/>
      <c r="K60" s="51"/>
      <c r="L60" s="51"/>
      <c r="M60" s="184"/>
      <c r="N60" s="184"/>
      <c r="O60" s="51"/>
      <c r="P60" s="51"/>
      <c r="Q60" s="163"/>
      <c r="R60" s="160"/>
      <c r="S60" s="43"/>
      <c r="T60" s="43"/>
      <c r="U60" s="44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</row>
    <row r="61" customFormat="false" ht="15" hidden="false" customHeight="true" outlineLevel="0" collapsed="false">
      <c r="A61" s="39"/>
      <c r="B61" s="127" t="s">
        <v>180</v>
      </c>
      <c r="C61" s="127"/>
      <c r="D61" s="128" t="s">
        <v>181</v>
      </c>
      <c r="E61" s="129" t="str">
        <f aca="false">"Цена, "&amp;D6</f>
        <v>Цена, грн.</v>
      </c>
      <c r="F61" s="130" t="str">
        <f aca="false">"Стоимость, "&amp;D6</f>
        <v>Стоимость, грн.</v>
      </c>
      <c r="G61" s="130"/>
      <c r="H61" s="131" t="s">
        <v>182</v>
      </c>
      <c r="I61" s="132" t="s">
        <v>183</v>
      </c>
      <c r="J61" s="132"/>
      <c r="K61" s="130" t="str">
        <f aca="false">"Амортизационные отчисления, "&amp;D6&amp;"/мес."</f>
        <v>Амортизационные отчисления, грн./мес.</v>
      </c>
      <c r="L61" s="130"/>
      <c r="M61" s="51"/>
      <c r="N61" s="51"/>
      <c r="O61" s="51"/>
      <c r="P61" s="51"/>
      <c r="Q61" s="163"/>
      <c r="R61" s="160"/>
      <c r="S61" s="43"/>
      <c r="T61" s="43"/>
      <c r="U61" s="44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</row>
    <row r="62" customFormat="false" ht="15" hidden="false" customHeight="true" outlineLevel="0" collapsed="false">
      <c r="A62" s="39"/>
      <c r="B62" s="127"/>
      <c r="C62" s="127"/>
      <c r="D62" s="128"/>
      <c r="E62" s="129"/>
      <c r="F62" s="130"/>
      <c r="G62" s="130"/>
      <c r="H62" s="131"/>
      <c r="I62" s="132"/>
      <c r="J62" s="132"/>
      <c r="K62" s="130"/>
      <c r="L62" s="130"/>
      <c r="M62" s="51"/>
      <c r="N62" s="51"/>
      <c r="O62" s="51"/>
      <c r="P62" s="51"/>
      <c r="Q62" s="163"/>
      <c r="R62" s="160"/>
      <c r="S62" s="43"/>
      <c r="T62" s="43"/>
      <c r="U62" s="44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</row>
    <row r="63" customFormat="false" ht="15" hidden="false" customHeight="true" outlineLevel="0" collapsed="false">
      <c r="A63" s="39"/>
      <c r="B63" s="127"/>
      <c r="C63" s="127"/>
      <c r="D63" s="128"/>
      <c r="E63" s="129"/>
      <c r="F63" s="130"/>
      <c r="G63" s="130"/>
      <c r="H63" s="131"/>
      <c r="I63" s="132"/>
      <c r="J63" s="132"/>
      <c r="K63" s="130"/>
      <c r="L63" s="130"/>
      <c r="M63" s="51"/>
      <c r="N63" s="51"/>
      <c r="O63" s="51"/>
      <c r="P63" s="51"/>
      <c r="Q63" s="163"/>
      <c r="R63" s="160"/>
      <c r="S63" s="43"/>
      <c r="T63" s="43"/>
      <c r="U63" s="44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</row>
    <row r="64" customFormat="false" ht="15" hidden="false" customHeight="true" outlineLevel="0" collapsed="false">
      <c r="A64" s="39"/>
      <c r="B64" s="140" t="s">
        <v>213</v>
      </c>
      <c r="C64" s="140"/>
      <c r="D64" s="141"/>
      <c r="E64" s="142"/>
      <c r="F64" s="143" t="n">
        <f aca="false">IF(D64=0,E64,D64*E64)</f>
        <v>0</v>
      </c>
      <c r="G64" s="143"/>
      <c r="H64" s="141"/>
      <c r="I64" s="144"/>
      <c r="J64" s="144"/>
      <c r="K64" s="145" t="n">
        <f aca="false">IFERROR(F64/I64,0)</f>
        <v>0</v>
      </c>
      <c r="L64" s="145"/>
      <c r="M64" s="51"/>
      <c r="N64" s="51"/>
      <c r="O64" s="51"/>
      <c r="P64" s="51"/>
      <c r="Q64" s="163"/>
      <c r="R64" s="160" t="n">
        <f aca="false">IF(H64="Собственные",E64,0)</f>
        <v>0</v>
      </c>
      <c r="S64" s="43" t="n">
        <f aca="false">IF(H64="Инвестор",E64,0)</f>
        <v>0</v>
      </c>
      <c r="T64" s="43" t="n">
        <f aca="false">IF(H64="Партнер",E64,0)</f>
        <v>0</v>
      </c>
      <c r="U64" s="44" t="n">
        <f aca="false">IF(H64="Кредит",E64,0)</f>
        <v>0</v>
      </c>
      <c r="V64" s="43" t="n">
        <f aca="false">IF(H64="Лизинг",E64,0)</f>
        <v>0</v>
      </c>
      <c r="W64" s="43" t="n">
        <f aca="false">IF(H64="Аренда",E64,0)</f>
        <v>0</v>
      </c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</row>
    <row r="65" customFormat="false" ht="15" hidden="false" customHeight="true" outlineLevel="0" collapsed="false">
      <c r="A65" s="39"/>
      <c r="B65" s="75" t="s">
        <v>214</v>
      </c>
      <c r="C65" s="75"/>
      <c r="D65" s="151" t="n">
        <v>2</v>
      </c>
      <c r="E65" s="152" t="n">
        <v>250</v>
      </c>
      <c r="F65" s="153" t="n">
        <f aca="false">IF(D65=0,E65,D65*E65)</f>
        <v>500</v>
      </c>
      <c r="G65" s="153"/>
      <c r="H65" s="151" t="s">
        <v>119</v>
      </c>
      <c r="I65" s="154"/>
      <c r="J65" s="154"/>
      <c r="K65" s="155" t="n">
        <f aca="false">IFERROR(F65/I65,0)</f>
        <v>0</v>
      </c>
      <c r="L65" s="155"/>
      <c r="M65" s="51"/>
      <c r="N65" s="51"/>
      <c r="O65" s="51"/>
      <c r="P65" s="51"/>
      <c r="Q65" s="163"/>
      <c r="R65" s="160" t="n">
        <f aca="false">IF(H65="Собственные",E65,0)</f>
        <v>250</v>
      </c>
      <c r="S65" s="43" t="n">
        <f aca="false">IF(H65="Инвестор",E65,0)</f>
        <v>0</v>
      </c>
      <c r="T65" s="43" t="n">
        <f aca="false">IF(H65="Партнер",E65,0)</f>
        <v>0</v>
      </c>
      <c r="U65" s="44" t="n">
        <f aca="false">IF(H65="Кредит",E65,0)</f>
        <v>0</v>
      </c>
      <c r="V65" s="43" t="n">
        <f aca="false">IF(H65="Лизинг",E65,0)</f>
        <v>0</v>
      </c>
      <c r="W65" s="43" t="n">
        <f aca="false">IF(H65="Аренда",E65,0)</f>
        <v>0</v>
      </c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</row>
    <row r="66" customFormat="false" ht="15" hidden="false" customHeight="true" outlineLevel="0" collapsed="false">
      <c r="A66" s="39"/>
      <c r="B66" s="75" t="s">
        <v>215</v>
      </c>
      <c r="C66" s="75"/>
      <c r="D66" s="151" t="n">
        <v>7</v>
      </c>
      <c r="E66" s="152" t="n">
        <v>500</v>
      </c>
      <c r="F66" s="153" t="n">
        <f aca="false">IF(D66=0,E66,D66*E66)</f>
        <v>3500</v>
      </c>
      <c r="G66" s="153"/>
      <c r="H66" s="151" t="s">
        <v>119</v>
      </c>
      <c r="I66" s="154"/>
      <c r="J66" s="154"/>
      <c r="K66" s="155" t="n">
        <f aca="false">IFERROR(F66/I66,0)</f>
        <v>0</v>
      </c>
      <c r="L66" s="155"/>
      <c r="M66" s="51"/>
      <c r="N66" s="51"/>
      <c r="O66" s="51"/>
      <c r="P66" s="51"/>
      <c r="Q66" s="163"/>
      <c r="R66" s="160" t="n">
        <f aca="false">IF(H66="Собственные",E66,0)</f>
        <v>500</v>
      </c>
      <c r="S66" s="43" t="n">
        <f aca="false">IF(H66="Инвестор",E66,0)</f>
        <v>0</v>
      </c>
      <c r="T66" s="43" t="n">
        <f aca="false">IF(H66="Партнер",E66,0)</f>
        <v>0</v>
      </c>
      <c r="U66" s="44" t="n">
        <f aca="false">IF(H66="Кредит",E66,0)</f>
        <v>0</v>
      </c>
      <c r="V66" s="43" t="n">
        <f aca="false">IF(H66="Лизинг",E66,0)</f>
        <v>0</v>
      </c>
      <c r="W66" s="43" t="n">
        <f aca="false">IF(H66="Аренда",E66,0)</f>
        <v>0</v>
      </c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</row>
    <row r="67" customFormat="false" ht="15" hidden="false" customHeight="true" outlineLevel="0" collapsed="false">
      <c r="A67" s="39"/>
      <c r="B67" s="75" t="s">
        <v>216</v>
      </c>
      <c r="C67" s="75"/>
      <c r="D67" s="151"/>
      <c r="E67" s="152" t="n">
        <v>3000</v>
      </c>
      <c r="F67" s="153" t="n">
        <f aca="false">IF(D67=0,E67,D67*E67)</f>
        <v>3000</v>
      </c>
      <c r="G67" s="153"/>
      <c r="H67" s="151" t="s">
        <v>119</v>
      </c>
      <c r="I67" s="154"/>
      <c r="J67" s="154"/>
      <c r="K67" s="155" t="n">
        <f aca="false">IFERROR(F67/I67,0)</f>
        <v>0</v>
      </c>
      <c r="L67" s="155"/>
      <c r="M67" s="51"/>
      <c r="N67" s="51"/>
      <c r="O67" s="51"/>
      <c r="P67" s="51"/>
      <c r="Q67" s="163"/>
      <c r="R67" s="160" t="n">
        <f aca="false">IF(H67="Собственные",E67,0)</f>
        <v>3000</v>
      </c>
      <c r="S67" s="43" t="n">
        <f aca="false">IF(H67="Инвестор",E67,0)</f>
        <v>0</v>
      </c>
      <c r="T67" s="43" t="n">
        <f aca="false">IF(H67="Партнер",E67,0)</f>
        <v>0</v>
      </c>
      <c r="U67" s="44" t="n">
        <f aca="false">IF(H67="Кредит",E67,0)</f>
        <v>0</v>
      </c>
      <c r="V67" s="43" t="n">
        <f aca="false">IF(H67="Лизинг",E67,0)</f>
        <v>0</v>
      </c>
      <c r="W67" s="43" t="n">
        <f aca="false">IF(H67="Аренда",E67,0)</f>
        <v>0</v>
      </c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</row>
    <row r="68" customFormat="false" ht="15" hidden="false" customHeight="true" outlineLevel="0" collapsed="false">
      <c r="A68" s="39"/>
      <c r="B68" s="75" t="s">
        <v>217</v>
      </c>
      <c r="C68" s="75"/>
      <c r="D68" s="151"/>
      <c r="E68" s="152" t="n">
        <v>5000</v>
      </c>
      <c r="F68" s="153" t="n">
        <f aca="false">IF(D68=0,E68,D68*E68)</f>
        <v>5000</v>
      </c>
      <c r="G68" s="153"/>
      <c r="H68" s="151" t="s">
        <v>119</v>
      </c>
      <c r="I68" s="154"/>
      <c r="J68" s="154"/>
      <c r="K68" s="155" t="n">
        <f aca="false">IFERROR(F68/I68,0)</f>
        <v>0</v>
      </c>
      <c r="L68" s="155"/>
      <c r="M68" s="51"/>
      <c r="N68" s="51"/>
      <c r="O68" s="51"/>
      <c r="P68" s="51"/>
      <c r="Q68" s="163"/>
      <c r="R68" s="160" t="n">
        <f aca="false">IF(H68="Собственные",E68,0)</f>
        <v>5000</v>
      </c>
      <c r="S68" s="43" t="n">
        <f aca="false">IF(H68="Инвестор",E68,0)</f>
        <v>0</v>
      </c>
      <c r="T68" s="43" t="n">
        <f aca="false">IF(H68="Партнер",E68,0)</f>
        <v>0</v>
      </c>
      <c r="U68" s="44" t="n">
        <f aca="false">IF(H68="Кредит",E68,0)</f>
        <v>0</v>
      </c>
      <c r="V68" s="43" t="n">
        <f aca="false">IF(H68="Лизинг",E68,0)</f>
        <v>0</v>
      </c>
      <c r="W68" s="43" t="n">
        <f aca="false">IF(H68="Аренда",E68,0)</f>
        <v>0</v>
      </c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</row>
    <row r="69" customFormat="false" ht="15" hidden="false" customHeight="true" outlineLevel="0" collapsed="false">
      <c r="A69" s="39"/>
      <c r="B69" s="75" t="s">
        <v>218</v>
      </c>
      <c r="C69" s="75"/>
      <c r="D69" s="151"/>
      <c r="E69" s="152" t="n">
        <v>5000</v>
      </c>
      <c r="F69" s="153" t="n">
        <f aca="false">IF(D69=0,E69,D69*E69)</f>
        <v>5000</v>
      </c>
      <c r="G69" s="153"/>
      <c r="H69" s="151" t="s">
        <v>119</v>
      </c>
      <c r="I69" s="154"/>
      <c r="J69" s="154"/>
      <c r="K69" s="155" t="n">
        <f aca="false">IFERROR(F69/I69,0)</f>
        <v>0</v>
      </c>
      <c r="L69" s="155"/>
      <c r="M69" s="51"/>
      <c r="N69" s="51"/>
      <c r="O69" s="51"/>
      <c r="P69" s="51"/>
      <c r="Q69" s="163"/>
      <c r="R69" s="160" t="n">
        <f aca="false">IF(H69="Собственные",E69,0)</f>
        <v>5000</v>
      </c>
      <c r="S69" s="43" t="n">
        <f aca="false">IF(H69="Инвестор",E69,0)</f>
        <v>0</v>
      </c>
      <c r="T69" s="43" t="n">
        <f aca="false">IF(H69="Партнер",E69,0)</f>
        <v>0</v>
      </c>
      <c r="U69" s="44" t="n">
        <f aca="false">IF(H69="Кредит",E69,0)</f>
        <v>0</v>
      </c>
      <c r="V69" s="43" t="n">
        <f aca="false">IF(H69="Лизинг",E69,0)</f>
        <v>0</v>
      </c>
      <c r="W69" s="43" t="n">
        <f aca="false">IF(H69="Аренда",E69,0)</f>
        <v>0</v>
      </c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</row>
    <row r="70" customFormat="false" ht="15" hidden="false" customHeight="true" outlineLevel="0" collapsed="false">
      <c r="A70" s="39"/>
      <c r="B70" s="75" t="s">
        <v>219</v>
      </c>
      <c r="C70" s="75"/>
      <c r="D70" s="151"/>
      <c r="E70" s="152" t="n">
        <v>1000</v>
      </c>
      <c r="F70" s="153" t="n">
        <f aca="false">IF(D70=0,E70,D70*E70)</f>
        <v>1000</v>
      </c>
      <c r="G70" s="153"/>
      <c r="H70" s="151" t="s">
        <v>119</v>
      </c>
      <c r="I70" s="154"/>
      <c r="J70" s="154"/>
      <c r="K70" s="155" t="n">
        <f aca="false">IFERROR(F70/I70,0)</f>
        <v>0</v>
      </c>
      <c r="L70" s="155"/>
      <c r="M70" s="51"/>
      <c r="N70" s="51"/>
      <c r="O70" s="51"/>
      <c r="P70" s="51"/>
      <c r="Q70" s="163"/>
      <c r="R70" s="160" t="n">
        <f aca="false">IF(H70="Собственные",E70,0)</f>
        <v>1000</v>
      </c>
      <c r="S70" s="43" t="n">
        <f aca="false">IF(H70="Инвестор",E70,0)</f>
        <v>0</v>
      </c>
      <c r="T70" s="43" t="n">
        <f aca="false">IF(H70="Партнер",E70,0)</f>
        <v>0</v>
      </c>
      <c r="U70" s="44" t="n">
        <f aca="false">IF(H70="Кредит",E70,0)</f>
        <v>0</v>
      </c>
      <c r="V70" s="43" t="n">
        <f aca="false">IF(H70="Лизинг",E70,0)</f>
        <v>0</v>
      </c>
      <c r="W70" s="43" t="n">
        <f aca="false">IF(H70="Аренда",E70,0)</f>
        <v>0</v>
      </c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</row>
    <row r="71" customFormat="false" ht="15" hidden="false" customHeight="true" outlineLevel="0" collapsed="false">
      <c r="A71" s="39"/>
      <c r="B71" s="75" t="s">
        <v>79</v>
      </c>
      <c r="C71" s="75"/>
      <c r="D71" s="151"/>
      <c r="E71" s="152" t="n">
        <v>5000</v>
      </c>
      <c r="F71" s="153" t="n">
        <f aca="false">IF(D71=0,E71,D71*E71)</f>
        <v>5000</v>
      </c>
      <c r="G71" s="153"/>
      <c r="H71" s="151" t="s">
        <v>119</v>
      </c>
      <c r="I71" s="154"/>
      <c r="J71" s="154"/>
      <c r="K71" s="155" t="n">
        <f aca="false">IFERROR(F71/I71,0)</f>
        <v>0</v>
      </c>
      <c r="L71" s="155"/>
      <c r="M71" s="51"/>
      <c r="N71" s="51"/>
      <c r="O71" s="51"/>
      <c r="P71" s="51"/>
      <c r="Q71" s="163"/>
      <c r="R71" s="160" t="n">
        <f aca="false">IF(H71="Собственные",E71,0)</f>
        <v>5000</v>
      </c>
      <c r="S71" s="43" t="n">
        <f aca="false">IF(H71="Инвестор",E71,0)</f>
        <v>0</v>
      </c>
      <c r="T71" s="43" t="n">
        <f aca="false">IF(H71="Партнер",E71,0)</f>
        <v>0</v>
      </c>
      <c r="U71" s="44" t="n">
        <f aca="false">IF(H71="Кредит",E71,0)</f>
        <v>0</v>
      </c>
      <c r="V71" s="43" t="n">
        <f aca="false">IF(H71="Лизинг",E71,0)</f>
        <v>0</v>
      </c>
      <c r="W71" s="43" t="n">
        <f aca="false">IF(H71="Аренда",E71,0)</f>
        <v>0</v>
      </c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</row>
    <row r="72" customFormat="false" ht="15" hidden="false" customHeight="true" outlineLevel="0" collapsed="false">
      <c r="A72" s="39"/>
      <c r="B72" s="75" t="s">
        <v>220</v>
      </c>
      <c r="C72" s="75"/>
      <c r="D72" s="151"/>
      <c r="E72" s="152" t="n">
        <v>20000</v>
      </c>
      <c r="F72" s="153" t="n">
        <f aca="false">IF(D72=0,E72,D72*E72)</f>
        <v>20000</v>
      </c>
      <c r="G72" s="153"/>
      <c r="H72" s="151" t="s">
        <v>119</v>
      </c>
      <c r="I72" s="154"/>
      <c r="J72" s="154"/>
      <c r="K72" s="155" t="n">
        <f aca="false">IFERROR(F72/I72,0)</f>
        <v>0</v>
      </c>
      <c r="L72" s="155"/>
      <c r="M72" s="51"/>
      <c r="N72" s="51"/>
      <c r="O72" s="51"/>
      <c r="P72" s="51"/>
      <c r="Q72" s="163"/>
      <c r="R72" s="160" t="n">
        <f aca="false">IF(H72="Собственные",E72,0)</f>
        <v>20000</v>
      </c>
      <c r="S72" s="43" t="n">
        <f aca="false">IF(H72="Инвестор",E72,0)</f>
        <v>0</v>
      </c>
      <c r="T72" s="43" t="n">
        <f aca="false">IF(H72="Партнер",E72,0)</f>
        <v>0</v>
      </c>
      <c r="U72" s="44" t="n">
        <f aca="false">IF(H72="Кредит",E72,0)</f>
        <v>0</v>
      </c>
      <c r="V72" s="43" t="n">
        <f aca="false">IF(H72="Лизинг",E72,0)</f>
        <v>0</v>
      </c>
      <c r="W72" s="43" t="n">
        <f aca="false">IF(H72="Аренда",E72,0)</f>
        <v>0</v>
      </c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</row>
    <row r="73" customFormat="false" ht="15" hidden="false" customHeight="true" outlineLevel="0" collapsed="false">
      <c r="A73" s="39"/>
      <c r="B73" s="75"/>
      <c r="C73" s="75"/>
      <c r="D73" s="151"/>
      <c r="E73" s="152"/>
      <c r="F73" s="153" t="n">
        <f aca="false">IF(D73=0,E73,D73*E73)</f>
        <v>0</v>
      </c>
      <c r="G73" s="153"/>
      <c r="H73" s="151"/>
      <c r="I73" s="154"/>
      <c r="J73" s="154"/>
      <c r="K73" s="155" t="n">
        <f aca="false">IFERROR(F73/I73,0)</f>
        <v>0</v>
      </c>
      <c r="L73" s="155"/>
      <c r="M73" s="51"/>
      <c r="N73" s="51"/>
      <c r="O73" s="51"/>
      <c r="P73" s="51"/>
      <c r="Q73" s="163"/>
      <c r="R73" s="160" t="n">
        <f aca="false">IF(H73="Собственные",E73,0)</f>
        <v>0</v>
      </c>
      <c r="S73" s="43" t="n">
        <f aca="false">IF(H73="Инвестор",E73,0)</f>
        <v>0</v>
      </c>
      <c r="T73" s="43" t="n">
        <f aca="false">IF(H73="Партнер",E73,0)</f>
        <v>0</v>
      </c>
      <c r="U73" s="44" t="n">
        <f aca="false">IF(H73="Кредит",E73,0)</f>
        <v>0</v>
      </c>
      <c r="V73" s="43" t="n">
        <f aca="false">IF(H73="Лизинг",E73,0)</f>
        <v>0</v>
      </c>
      <c r="W73" s="43" t="n">
        <f aca="false">IF(H73="Аренда",E73,0)</f>
        <v>0</v>
      </c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</row>
    <row r="74" customFormat="false" ht="15" hidden="false" customHeight="true" outlineLevel="0" collapsed="false">
      <c r="A74" s="39"/>
      <c r="B74" s="75"/>
      <c r="C74" s="75"/>
      <c r="D74" s="151"/>
      <c r="E74" s="152"/>
      <c r="F74" s="153" t="n">
        <f aca="false">IF(D74=0,E74,D74*E74)</f>
        <v>0</v>
      </c>
      <c r="G74" s="153"/>
      <c r="H74" s="151"/>
      <c r="I74" s="154"/>
      <c r="J74" s="154"/>
      <c r="K74" s="155" t="n">
        <f aca="false">IFERROR(F74/I74,0)</f>
        <v>0</v>
      </c>
      <c r="L74" s="155"/>
      <c r="M74" s="51"/>
      <c r="N74" s="51"/>
      <c r="O74" s="51"/>
      <c r="P74" s="51"/>
      <c r="Q74" s="163"/>
      <c r="R74" s="160" t="n">
        <f aca="false">IF(H74="Собственные",E74,0)</f>
        <v>0</v>
      </c>
      <c r="S74" s="43" t="n">
        <f aca="false">IF(H74="Инвестор",E74,0)</f>
        <v>0</v>
      </c>
      <c r="T74" s="43" t="n">
        <f aca="false">IF(H74="Партнер",E74,0)</f>
        <v>0</v>
      </c>
      <c r="U74" s="44" t="n">
        <f aca="false">IF(H74="Кредит",E74,0)</f>
        <v>0</v>
      </c>
      <c r="V74" s="43" t="n">
        <f aca="false">IF(H74="Лизинг",E74,0)</f>
        <v>0</v>
      </c>
      <c r="W74" s="43" t="n">
        <f aca="false">IF(H74="Аренда",E74,0)</f>
        <v>0</v>
      </c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</row>
    <row r="75" customFormat="false" ht="15" hidden="false" customHeight="true" outlineLevel="0" collapsed="false">
      <c r="A75" s="39"/>
      <c r="B75" s="75"/>
      <c r="C75" s="75"/>
      <c r="D75" s="151"/>
      <c r="E75" s="152"/>
      <c r="F75" s="153" t="n">
        <f aca="false">IF(D75=0,E75,D75*E75)</f>
        <v>0</v>
      </c>
      <c r="G75" s="153"/>
      <c r="H75" s="151"/>
      <c r="I75" s="154"/>
      <c r="J75" s="154"/>
      <c r="K75" s="155" t="n">
        <f aca="false">IFERROR(F75/I75,0)</f>
        <v>0</v>
      </c>
      <c r="L75" s="155"/>
      <c r="M75" s="51"/>
      <c r="N75" s="51"/>
      <c r="O75" s="51"/>
      <c r="P75" s="51"/>
      <c r="Q75" s="163"/>
      <c r="R75" s="160" t="n">
        <f aca="false">IF(H75="Собственные",E75,0)</f>
        <v>0</v>
      </c>
      <c r="S75" s="43" t="n">
        <f aca="false">IF(H75="Инвестор",E75,0)</f>
        <v>0</v>
      </c>
      <c r="T75" s="43" t="n">
        <f aca="false">IF(H75="Партнер",E75,0)</f>
        <v>0</v>
      </c>
      <c r="U75" s="44" t="n">
        <f aca="false">IF(H75="Кредит",E75,0)</f>
        <v>0</v>
      </c>
      <c r="V75" s="43" t="n">
        <f aca="false">IF(H75="Лизинг",E75,0)</f>
        <v>0</v>
      </c>
      <c r="W75" s="43" t="n">
        <f aca="false">IF(H75="Аренда",E75,0)</f>
        <v>0</v>
      </c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</row>
    <row r="76" customFormat="false" ht="15" hidden="false" customHeight="true" outlineLevel="0" collapsed="false">
      <c r="A76" s="39"/>
      <c r="B76" s="75"/>
      <c r="C76" s="75"/>
      <c r="D76" s="151"/>
      <c r="E76" s="152"/>
      <c r="F76" s="153" t="n">
        <f aca="false">IF(D76=0,E76,D76*E76)</f>
        <v>0</v>
      </c>
      <c r="G76" s="153"/>
      <c r="H76" s="151"/>
      <c r="I76" s="154"/>
      <c r="J76" s="154"/>
      <c r="K76" s="155" t="n">
        <f aca="false">IFERROR(F76/I76,0)</f>
        <v>0</v>
      </c>
      <c r="L76" s="155"/>
      <c r="M76" s="51"/>
      <c r="N76" s="51"/>
      <c r="O76" s="51"/>
      <c r="P76" s="51"/>
      <c r="Q76" s="163"/>
      <c r="R76" s="160" t="n">
        <f aca="false">IF(H76="Собственные",E76,0)</f>
        <v>0</v>
      </c>
      <c r="S76" s="43" t="n">
        <f aca="false">IF(H76="Инвестор",E76,0)</f>
        <v>0</v>
      </c>
      <c r="T76" s="43" t="n">
        <f aca="false">IF(H76="Партнер",E76,0)</f>
        <v>0</v>
      </c>
      <c r="U76" s="44" t="n">
        <f aca="false">IF(H76="Кредит",E76,0)</f>
        <v>0</v>
      </c>
      <c r="V76" s="43" t="n">
        <f aca="false">IF(H76="Лизинг",E76,0)</f>
        <v>0</v>
      </c>
      <c r="W76" s="43" t="n">
        <f aca="false">IF(H76="Аренда",E76,0)</f>
        <v>0</v>
      </c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</row>
    <row r="77" customFormat="false" ht="15" hidden="false" customHeight="true" outlineLevel="0" collapsed="false">
      <c r="A77" s="39"/>
      <c r="B77" s="75"/>
      <c r="C77" s="75"/>
      <c r="D77" s="151"/>
      <c r="E77" s="152"/>
      <c r="F77" s="153" t="n">
        <f aca="false">IF(D77=0,E77,D77*E77)</f>
        <v>0</v>
      </c>
      <c r="G77" s="153"/>
      <c r="H77" s="151"/>
      <c r="I77" s="154"/>
      <c r="J77" s="154"/>
      <c r="K77" s="155" t="n">
        <f aca="false">IFERROR(F77/I77,0)</f>
        <v>0</v>
      </c>
      <c r="L77" s="155"/>
      <c r="M77" s="51"/>
      <c r="N77" s="51"/>
      <c r="O77" s="51"/>
      <c r="P77" s="51"/>
      <c r="Q77" s="163"/>
      <c r="R77" s="160" t="n">
        <f aca="false">IF(H77="Собственные",E77,0)</f>
        <v>0</v>
      </c>
      <c r="S77" s="43" t="n">
        <f aca="false">IF(H77="Инвестор",E77,0)</f>
        <v>0</v>
      </c>
      <c r="T77" s="43" t="n">
        <f aca="false">IF(H77="Партнер",E77,0)</f>
        <v>0</v>
      </c>
      <c r="U77" s="44" t="n">
        <f aca="false">IF(H77="Кредит",E77,0)</f>
        <v>0</v>
      </c>
      <c r="V77" s="43" t="n">
        <f aca="false">IF(H77="Лизинг",E77,0)</f>
        <v>0</v>
      </c>
      <c r="W77" s="43" t="n">
        <f aca="false">IF(H77="Аренда",E77,0)</f>
        <v>0</v>
      </c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</row>
    <row r="78" customFormat="false" ht="15" hidden="false" customHeight="true" outlineLevel="0" collapsed="false">
      <c r="A78" s="39"/>
      <c r="B78" s="75"/>
      <c r="C78" s="75"/>
      <c r="D78" s="151"/>
      <c r="E78" s="152"/>
      <c r="F78" s="153" t="n">
        <f aca="false">IF(D78=0,E78,D78*E78)</f>
        <v>0</v>
      </c>
      <c r="G78" s="153"/>
      <c r="H78" s="151"/>
      <c r="I78" s="154"/>
      <c r="J78" s="154"/>
      <c r="K78" s="155" t="n">
        <f aca="false">IFERROR(F78/I78,0)</f>
        <v>0</v>
      </c>
      <c r="L78" s="155"/>
      <c r="M78" s="51"/>
      <c r="N78" s="51"/>
      <c r="O78" s="51"/>
      <c r="P78" s="51"/>
      <c r="Q78" s="163"/>
      <c r="R78" s="160" t="n">
        <f aca="false">IF(H78="Собственные",E78,0)</f>
        <v>0</v>
      </c>
      <c r="S78" s="43" t="n">
        <f aca="false">IF(H78="Инвестор",E78,0)</f>
        <v>0</v>
      </c>
      <c r="T78" s="43" t="n">
        <f aca="false">IF(H78="Партнер",E78,0)</f>
        <v>0</v>
      </c>
      <c r="U78" s="44" t="n">
        <f aca="false">IF(H78="Кредит",E78,0)</f>
        <v>0</v>
      </c>
      <c r="V78" s="43" t="n">
        <f aca="false">IF(H78="Лизинг",E78,0)</f>
        <v>0</v>
      </c>
      <c r="W78" s="43" t="n">
        <f aca="false">IF(H78="Аренда",E78,0)</f>
        <v>0</v>
      </c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</row>
    <row r="79" customFormat="false" ht="15" hidden="false" customHeight="true" outlineLevel="0" collapsed="false">
      <c r="A79" s="39"/>
      <c r="B79" s="75"/>
      <c r="C79" s="75"/>
      <c r="D79" s="151"/>
      <c r="E79" s="152"/>
      <c r="F79" s="153" t="n">
        <f aca="false">IF(D79=0,E79,D79*E79)</f>
        <v>0</v>
      </c>
      <c r="G79" s="153"/>
      <c r="H79" s="151"/>
      <c r="I79" s="154"/>
      <c r="J79" s="154"/>
      <c r="K79" s="155" t="n">
        <f aca="false">IFERROR(F79/I79,0)</f>
        <v>0</v>
      </c>
      <c r="L79" s="155"/>
      <c r="M79" s="51"/>
      <c r="N79" s="51"/>
      <c r="O79" s="51"/>
      <c r="P79" s="51"/>
      <c r="Q79" s="163"/>
      <c r="R79" s="160" t="n">
        <f aca="false">IF(H79="Собственные",E79,0)</f>
        <v>0</v>
      </c>
      <c r="S79" s="43" t="n">
        <f aca="false">IF(H79="Инвестор",E79,0)</f>
        <v>0</v>
      </c>
      <c r="T79" s="43" t="n">
        <f aca="false">IF(H79="Партнер",E79,0)</f>
        <v>0</v>
      </c>
      <c r="U79" s="44" t="n">
        <f aca="false">IF(H79="Кредит",E79,0)</f>
        <v>0</v>
      </c>
      <c r="V79" s="43" t="n">
        <f aca="false">IF(H79="Лизинг",E79,0)</f>
        <v>0</v>
      </c>
      <c r="W79" s="43" t="n">
        <f aca="false">IF(H79="Аренда",E79,0)</f>
        <v>0</v>
      </c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</row>
    <row r="80" customFormat="false" ht="15" hidden="false" customHeight="true" outlineLevel="0" collapsed="false">
      <c r="A80" s="39"/>
      <c r="B80" s="75"/>
      <c r="C80" s="75"/>
      <c r="D80" s="151"/>
      <c r="E80" s="152"/>
      <c r="F80" s="153" t="n">
        <f aca="false">IF(D80=0,E80,D80*E80)</f>
        <v>0</v>
      </c>
      <c r="G80" s="153"/>
      <c r="H80" s="151"/>
      <c r="I80" s="154"/>
      <c r="J80" s="154"/>
      <c r="K80" s="155" t="n">
        <f aca="false">IFERROR(F80/I80,0)</f>
        <v>0</v>
      </c>
      <c r="L80" s="155"/>
      <c r="M80" s="51"/>
      <c r="N80" s="51"/>
      <c r="O80" s="51"/>
      <c r="P80" s="51"/>
      <c r="Q80" s="163"/>
      <c r="R80" s="160" t="n">
        <f aca="false">IF(H80="Собственные",E80,0)</f>
        <v>0</v>
      </c>
      <c r="S80" s="43" t="n">
        <f aca="false">IF(H80="Инвестор",E80,0)</f>
        <v>0</v>
      </c>
      <c r="T80" s="43" t="n">
        <f aca="false">IF(H80="Партнер",E80,0)</f>
        <v>0</v>
      </c>
      <c r="U80" s="44" t="n">
        <f aca="false">IF(H80="Кредит",E80,0)</f>
        <v>0</v>
      </c>
      <c r="V80" s="43" t="n">
        <f aca="false">IF(H80="Лизинг",E80,0)</f>
        <v>0</v>
      </c>
      <c r="W80" s="43" t="n">
        <f aca="false">IF(H80="Аренда",E80,0)</f>
        <v>0</v>
      </c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</row>
    <row r="81" customFormat="false" ht="15" hidden="false" customHeight="true" outlineLevel="0" collapsed="false">
      <c r="A81" s="39"/>
      <c r="B81" s="166" t="s">
        <v>208</v>
      </c>
      <c r="C81" s="166"/>
      <c r="D81" s="167"/>
      <c r="E81" s="168"/>
      <c r="F81" s="169" t="n">
        <f aca="false">SUM(F64:G80)</f>
        <v>43000</v>
      </c>
      <c r="G81" s="169"/>
      <c r="H81" s="170"/>
      <c r="I81" s="171"/>
      <c r="J81" s="171"/>
      <c r="K81" s="172" t="n">
        <f aca="false">SUM(K64:L80)</f>
        <v>0</v>
      </c>
      <c r="L81" s="172"/>
      <c r="M81" s="51"/>
      <c r="N81" s="51"/>
      <c r="O81" s="51"/>
      <c r="P81" s="51"/>
      <c r="Q81" s="163"/>
      <c r="R81" s="160"/>
      <c r="S81" s="43"/>
      <c r="T81" s="43"/>
      <c r="U81" s="44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</row>
    <row r="82" customFormat="false" ht="6" hidden="false" customHeight="true" outlineLevel="0" collapsed="false">
      <c r="A82" s="39"/>
      <c r="B82" s="177"/>
      <c r="C82" s="177"/>
      <c r="D82" s="66"/>
      <c r="E82" s="39"/>
      <c r="F82" s="39"/>
      <c r="G82" s="39"/>
      <c r="H82" s="51"/>
      <c r="I82" s="51"/>
      <c r="J82" s="51"/>
      <c r="K82" s="51"/>
      <c r="L82" s="51"/>
      <c r="M82" s="51"/>
      <c r="N82" s="51"/>
      <c r="O82" s="51"/>
      <c r="P82" s="51"/>
      <c r="R82" s="160" t="n">
        <f aca="false">IF(H82="Собственные",E82,0)</f>
        <v>0</v>
      </c>
      <c r="S82" s="43"/>
      <c r="T82" s="44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</row>
    <row r="83" customFormat="false" ht="16.15" hidden="false" customHeight="false" outlineLevel="0" collapsed="false">
      <c r="A83" s="39"/>
      <c r="B83" s="186" t="s">
        <v>221</v>
      </c>
      <c r="C83" s="186"/>
      <c r="D83" s="186"/>
      <c r="E83" s="186"/>
      <c r="F83" s="39"/>
      <c r="G83" s="39"/>
      <c r="H83" s="51"/>
      <c r="I83" s="51"/>
      <c r="J83" s="51"/>
      <c r="K83" s="51"/>
      <c r="L83" s="51"/>
      <c r="M83" s="51"/>
      <c r="N83" s="51"/>
      <c r="O83" s="51"/>
      <c r="P83" s="51"/>
      <c r="R83" s="160" t="n">
        <f aca="false">IF(H83="Собственные",E83,0)</f>
        <v>0</v>
      </c>
      <c r="S83" s="43"/>
      <c r="T83" s="44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</row>
    <row r="84" customFormat="false" ht="15" hidden="false" customHeight="true" outlineLevel="0" collapsed="false">
      <c r="A84" s="39"/>
      <c r="B84" s="187" t="s">
        <v>222</v>
      </c>
      <c r="C84" s="187"/>
      <c r="D84" s="188" t="n">
        <v>90</v>
      </c>
      <c r="E84" s="189" t="str">
        <f aca="false">D6&amp;"/"&amp;D7</f>
        <v>грн./ед.</v>
      </c>
      <c r="F84" s="190" t="n">
        <f aca="false">IF(D85&lt;O98,"Внимание! Вы изначально планируете низкий объем продукции (услуг), соответственно, Вы не сможете получить прибыль! Прибыль Вы начнете получать только после реализации "&amp;TEXT(O98,"# ###")&amp;" "&amp;D7&amp;" продукции. Пересмотрите объем реализации, отпускную цену или статьи расходов.",0)</f>
        <v>0</v>
      </c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S84" s="43"/>
      <c r="T84" s="44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</row>
    <row r="85" customFormat="false" ht="27" hidden="false" customHeight="true" outlineLevel="0" collapsed="false">
      <c r="A85" s="39"/>
      <c r="B85" s="191" t="s">
        <v>223</v>
      </c>
      <c r="C85" s="191"/>
      <c r="D85" s="192" t="n">
        <v>1440</v>
      </c>
      <c r="E85" s="193" t="str">
        <f aca="false">D7&amp;"/мес."</f>
        <v>ед./мес.</v>
      </c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S85" s="43"/>
      <c r="T85" s="44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</row>
    <row r="86" customFormat="false" ht="14.9" hidden="false" customHeight="true" outlineLevel="0" collapsed="false">
      <c r="A86" s="39"/>
      <c r="B86" s="194" t="s">
        <v>224</v>
      </c>
      <c r="C86" s="194"/>
      <c r="D86" s="195" t="n">
        <f aca="false">Персонал!Q3</f>
        <v>0.3676</v>
      </c>
      <c r="E86" s="196"/>
      <c r="F86" s="39"/>
      <c r="G86" s="39"/>
      <c r="H86" s="197" t="s">
        <v>225</v>
      </c>
      <c r="I86" s="197"/>
      <c r="J86" s="197"/>
      <c r="K86" s="197"/>
      <c r="L86" s="198" t="s">
        <v>120</v>
      </c>
      <c r="M86" s="184"/>
      <c r="N86" s="51"/>
      <c r="O86" s="51"/>
      <c r="P86" s="51"/>
      <c r="S86" s="43"/>
      <c r="T86" s="44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</row>
    <row r="87" customFormat="false" ht="6" hidden="false" customHeight="true" outlineLevel="0" collapsed="false">
      <c r="A87" s="39"/>
      <c r="B87" s="39"/>
      <c r="C87" s="39"/>
      <c r="D87" s="39"/>
      <c r="E87" s="199"/>
      <c r="F87" s="39"/>
      <c r="G87" s="39"/>
      <c r="H87" s="74"/>
      <c r="I87" s="74"/>
      <c r="J87" s="74"/>
      <c r="K87" s="74"/>
      <c r="L87" s="74"/>
      <c r="M87" s="74"/>
      <c r="N87" s="74"/>
      <c r="O87" s="74"/>
      <c r="P87" s="51"/>
      <c r="S87" s="43"/>
      <c r="T87" s="44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</row>
    <row r="88" customFormat="false" ht="15" hidden="false" customHeight="true" outlineLevel="0" collapsed="false">
      <c r="A88" s="39"/>
      <c r="B88" s="134" t="s">
        <v>226</v>
      </c>
      <c r="C88" s="134"/>
      <c r="D88" s="134" t="s">
        <v>227</v>
      </c>
      <c r="E88" s="134"/>
      <c r="F88" s="134"/>
      <c r="G88" s="39"/>
      <c r="H88" s="200" t="str">
        <f aca="false">"Объем продаж в месяц, "&amp;D7</f>
        <v>Объем продаж в месяц, ед.</v>
      </c>
      <c r="I88" s="200" t="str">
        <f aca="false">"Доход (выручка), "&amp;D6</f>
        <v>Доход (выручка), грн.</v>
      </c>
      <c r="J88" s="201" t="str">
        <f aca="false">"Постоянные затраты, "&amp;D6</f>
        <v>Постоянные затраты, грн.</v>
      </c>
      <c r="K88" s="202" t="str">
        <f aca="false">"Переменные затраты, "&amp;D6</f>
        <v>Переменные затраты, грн.</v>
      </c>
      <c r="L88" s="203" t="str">
        <f aca="false">"Общая сумма затрат, "&amp;D6</f>
        <v>Общая сумма затрат, грн.</v>
      </c>
      <c r="M88" s="200" t="str">
        <f aca="false">"Прибыль (убыток), "&amp;D6</f>
        <v>Прибыль (убыток), грн.</v>
      </c>
      <c r="N88" s="200" t="str">
        <f aca="false">"Себестоимость 1 "&amp;D7&amp;" готовой продукции, "&amp;E84</f>
        <v>Себестоимость 1 ед. готовой продукции, грн./ед.</v>
      </c>
      <c r="O88" s="204" t="s">
        <v>228</v>
      </c>
      <c r="P88" s="205" t="s">
        <v>229</v>
      </c>
      <c r="S88" s="43"/>
      <c r="T88" s="44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</row>
    <row r="89" customFormat="false" ht="15" hidden="false" customHeight="true" outlineLevel="0" collapsed="false">
      <c r="A89" s="39"/>
      <c r="B89" s="134"/>
      <c r="C89" s="134"/>
      <c r="D89" s="134"/>
      <c r="E89" s="134"/>
      <c r="F89" s="134"/>
      <c r="G89" s="39"/>
      <c r="H89" s="200"/>
      <c r="I89" s="200"/>
      <c r="J89" s="201"/>
      <c r="K89" s="202"/>
      <c r="L89" s="203"/>
      <c r="M89" s="200"/>
      <c r="N89" s="200"/>
      <c r="O89" s="204"/>
      <c r="P89" s="205"/>
      <c r="S89" s="43"/>
      <c r="T89" s="44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</row>
    <row r="90" customFormat="false" ht="15" hidden="false" customHeight="true" outlineLevel="0" collapsed="false">
      <c r="A90" s="39"/>
      <c r="B90" s="206" t="s">
        <v>230</v>
      </c>
      <c r="C90" s="207" t="str">
        <f aca="false">"Сумма, "&amp;D6</f>
        <v>Сумма, грн.</v>
      </c>
      <c r="D90" s="127" t="s">
        <v>230</v>
      </c>
      <c r="E90" s="127"/>
      <c r="F90" s="207" t="str">
        <f aca="false">"Сумма, "&amp;D6</f>
        <v>Сумма, грн.</v>
      </c>
      <c r="G90" s="39"/>
      <c r="H90" s="208" t="n">
        <f aca="false">D85/3</f>
        <v>480</v>
      </c>
      <c r="I90" s="209" t="n">
        <f aca="false">H90*$D$84</f>
        <v>43200</v>
      </c>
      <c r="J90" s="210" t="n">
        <f aca="false">$C$117</f>
        <v>50031.4</v>
      </c>
      <c r="K90" s="211" t="n">
        <f aca="false">$F$117*H90</f>
        <v>21360</v>
      </c>
      <c r="L90" s="212" t="n">
        <f aca="false">J90+K90</f>
        <v>71391.4</v>
      </c>
      <c r="M90" s="209" t="n">
        <f aca="false">I90-L90</f>
        <v>-28191.4</v>
      </c>
      <c r="N90" s="209" t="n">
        <f aca="false">IFERROR(($C$117/H90+$F$117),0)</f>
        <v>148.732083333333</v>
      </c>
      <c r="O90" s="213" t="n">
        <f aca="false">IFERROR((I90-L90)/I90,0)</f>
        <v>-0.652578703703704</v>
      </c>
      <c r="P90" s="214" t="str">
        <f aca="false">IFERROR(IF((($F$56+$F$81)/M90)&lt;0,"не окупится",(($F$56+$F$81)/M90)),0)</f>
        <v>не окупится</v>
      </c>
      <c r="R90" s="215"/>
      <c r="S90" s="43"/>
      <c r="T90" s="44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</row>
    <row r="91" customFormat="false" ht="15" hidden="false" customHeight="true" outlineLevel="0" collapsed="false">
      <c r="A91" s="39"/>
      <c r="B91" s="206"/>
      <c r="C91" s="207"/>
      <c r="D91" s="127"/>
      <c r="E91" s="127"/>
      <c r="F91" s="207"/>
      <c r="G91" s="39"/>
      <c r="H91" s="216" t="n">
        <f aca="false">H90+$H$90</f>
        <v>960</v>
      </c>
      <c r="I91" s="217" t="n">
        <f aca="false">H91*$D$84</f>
        <v>86400</v>
      </c>
      <c r="J91" s="218" t="n">
        <f aca="false">$C$117</f>
        <v>50031.4</v>
      </c>
      <c r="K91" s="219" t="n">
        <f aca="false">$F$117*H91</f>
        <v>42720</v>
      </c>
      <c r="L91" s="220" t="n">
        <f aca="false">J91+K91</f>
        <v>92751.4</v>
      </c>
      <c r="M91" s="217" t="n">
        <f aca="false">I91-L91</f>
        <v>-6351.39999999999</v>
      </c>
      <c r="N91" s="217" t="n">
        <f aca="false">IFERROR(($C$117/H91+$F$117),0)</f>
        <v>96.6160416666667</v>
      </c>
      <c r="O91" s="221" t="n">
        <f aca="false">IFERROR((I91-L91)/I91,0)</f>
        <v>-0.073511574074074</v>
      </c>
      <c r="P91" s="222" t="str">
        <f aca="false">IFERROR(IF((($F$56+$F$81)/M91)&lt;0,"не окупится",(($F$56+$F$81)/M91)),0)</f>
        <v>не окупится</v>
      </c>
      <c r="R91" s="215"/>
      <c r="S91" s="43"/>
      <c r="T91" s="44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</row>
    <row r="92" customFormat="false" ht="15" hidden="false" customHeight="true" outlineLevel="0" collapsed="false">
      <c r="A92" s="39"/>
      <c r="B92" s="223" t="s">
        <v>231</v>
      </c>
      <c r="C92" s="224" t="n">
        <f aca="false">K56+K81</f>
        <v>4472.22222222222</v>
      </c>
      <c r="D92" s="225" t="s">
        <v>232</v>
      </c>
      <c r="E92" s="225"/>
      <c r="F92" s="226" t="n">
        <v>40</v>
      </c>
      <c r="G92" s="39"/>
      <c r="H92" s="216" t="n">
        <f aca="false">H91+$H$90</f>
        <v>1440</v>
      </c>
      <c r="I92" s="217" t="n">
        <f aca="false">H92*$D$84</f>
        <v>129600</v>
      </c>
      <c r="J92" s="218" t="n">
        <f aca="false">$C$117</f>
        <v>50031.4</v>
      </c>
      <c r="K92" s="219" t="n">
        <f aca="false">$F$117*H92</f>
        <v>64080</v>
      </c>
      <c r="L92" s="220" t="n">
        <f aca="false">J92+K92</f>
        <v>114111.4</v>
      </c>
      <c r="M92" s="217" t="n">
        <f aca="false">I92-L92</f>
        <v>15488.6</v>
      </c>
      <c r="N92" s="217" t="n">
        <f aca="false">IFERROR(($C$117/H92+$F$117),0)</f>
        <v>79.2440277777778</v>
      </c>
      <c r="O92" s="221" t="n">
        <f aca="false">IFERROR((I92-L92)/I92,0)</f>
        <v>0.119510802469136</v>
      </c>
      <c r="P92" s="222" t="n">
        <f aca="false">IFERROR(IF((($F$56+$F$81)/M92)&lt;0,"не окупится",(($F$56+$F$81)/M92)),0)</f>
        <v>11.2986325426443</v>
      </c>
      <c r="R92" s="215"/>
      <c r="S92" s="43"/>
      <c r="T92" s="44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</row>
    <row r="93" customFormat="false" ht="15" hidden="false" customHeight="true" outlineLevel="0" collapsed="false">
      <c r="A93" s="39"/>
      <c r="B93" s="227" t="s">
        <v>233</v>
      </c>
      <c r="C93" s="228" t="n">
        <f aca="false">P56</f>
        <v>4195.8</v>
      </c>
      <c r="D93" s="227" t="s">
        <v>234</v>
      </c>
      <c r="E93" s="227"/>
      <c r="F93" s="229" t="n">
        <v>0.5</v>
      </c>
      <c r="G93" s="39"/>
      <c r="H93" s="216" t="n">
        <f aca="false">H92+$H$90</f>
        <v>1920</v>
      </c>
      <c r="I93" s="217" t="n">
        <f aca="false">H93*$D$84</f>
        <v>172800</v>
      </c>
      <c r="J93" s="218" t="n">
        <f aca="false">$C$117</f>
        <v>50031.4</v>
      </c>
      <c r="K93" s="219" t="n">
        <f aca="false">$F$117*H93</f>
        <v>85440</v>
      </c>
      <c r="L93" s="220" t="n">
        <f aca="false">J93+K93</f>
        <v>135471.4</v>
      </c>
      <c r="M93" s="217" t="n">
        <f aca="false">I93-L93</f>
        <v>37328.6</v>
      </c>
      <c r="N93" s="217" t="n">
        <f aca="false">IFERROR(($C$117/H93+$F$117),0)</f>
        <v>70.5580208333333</v>
      </c>
      <c r="O93" s="221" t="n">
        <f aca="false">IFERROR((I93-L93)/I93,0)</f>
        <v>0.216021990740741</v>
      </c>
      <c r="P93" s="222" t="n">
        <f aca="false">IFERROR(IF((($F$56+$F$81)/M93)&lt;0,"не окупится",(($F$56+$F$81)/M93)),0)</f>
        <v>4.68809438339504</v>
      </c>
      <c r="R93" s="215"/>
      <c r="S93" s="43"/>
      <c r="T93" s="44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</row>
    <row r="94" customFormat="false" ht="15" hidden="false" customHeight="true" outlineLevel="0" collapsed="false">
      <c r="A94" s="39"/>
      <c r="B94" s="230" t="s">
        <v>235</v>
      </c>
      <c r="C94" s="228" t="n">
        <f aca="false">Персонал!S27</f>
        <v>13233.6</v>
      </c>
      <c r="D94" s="227" t="s">
        <v>236</v>
      </c>
      <c r="E94" s="227"/>
      <c r="F94" s="228" t="n">
        <v>4</v>
      </c>
      <c r="G94" s="39"/>
      <c r="H94" s="216" t="n">
        <f aca="false">H93+$H$90</f>
        <v>2400</v>
      </c>
      <c r="I94" s="217" t="n">
        <f aca="false">H94*$D$84</f>
        <v>216000</v>
      </c>
      <c r="J94" s="218" t="n">
        <f aca="false">$C$117</f>
        <v>50031.4</v>
      </c>
      <c r="K94" s="219" t="n">
        <f aca="false">$F$117*H94</f>
        <v>106800</v>
      </c>
      <c r="L94" s="220" t="n">
        <f aca="false">J94+K94</f>
        <v>156831.4</v>
      </c>
      <c r="M94" s="217" t="n">
        <f aca="false">I94-L94</f>
        <v>59168.6</v>
      </c>
      <c r="N94" s="217" t="n">
        <f aca="false">IFERROR(($C$117/H94+$F$117),0)</f>
        <v>65.3464166666667</v>
      </c>
      <c r="O94" s="221" t="n">
        <f aca="false">IFERROR((I94-L94)/I94,0)</f>
        <v>0.273928703703704</v>
      </c>
      <c r="P94" s="222" t="n">
        <f aca="false">IFERROR(IF((($F$56+$F$81)/M94)&lt;0,"не окупится",(($F$56+$F$81)/M94)),0)</f>
        <v>2.95764983454062</v>
      </c>
      <c r="R94" s="215"/>
      <c r="S94" s="43"/>
      <c r="T94" s="44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</row>
    <row r="95" customFormat="false" ht="15" hidden="false" customHeight="true" outlineLevel="0" collapsed="false">
      <c r="A95" s="39"/>
      <c r="B95" s="231" t="s">
        <v>237</v>
      </c>
      <c r="C95" s="232" t="n">
        <f aca="false">IF(R95&lt;0,0,R95)</f>
        <v>1919.77777777778</v>
      </c>
      <c r="D95" s="227"/>
      <c r="E95" s="227"/>
      <c r="F95" s="228"/>
      <c r="G95" s="39"/>
      <c r="H95" s="216" t="n">
        <f aca="false">H94+$H$90</f>
        <v>2880</v>
      </c>
      <c r="I95" s="217" t="n">
        <f aca="false">H95*$D$84</f>
        <v>259200</v>
      </c>
      <c r="J95" s="218" t="n">
        <f aca="false">$C$117</f>
        <v>50031.4</v>
      </c>
      <c r="K95" s="219" t="n">
        <f aca="false">$F$117*H95</f>
        <v>128160</v>
      </c>
      <c r="L95" s="220" t="n">
        <f aca="false">J95+K95</f>
        <v>178191.4</v>
      </c>
      <c r="M95" s="217" t="n">
        <f aca="false">I95-L95</f>
        <v>81008.6</v>
      </c>
      <c r="N95" s="217" t="n">
        <f aca="false">IFERROR(($C$117/H95+$F$117),0)</f>
        <v>61.8720138888889</v>
      </c>
      <c r="O95" s="221" t="n">
        <f aca="false">IFERROR((I95-L95)/I95,0)</f>
        <v>0.312533179012346</v>
      </c>
      <c r="P95" s="222" t="n">
        <f aca="false">IFERROR(IF((($F$56+$F$81)/M95)&lt;0,"не окупится",(($F$56+$F$81)/M95)),0)</f>
        <v>2.16026446574808</v>
      </c>
      <c r="R95" s="215" t="n">
        <f aca="false">IF(SUM(D19:D20)&gt;0,'Кредитный калькулятор'!D11-Анализ!C92,0)</f>
        <v>1919.77777777778</v>
      </c>
      <c r="S95" s="43"/>
      <c r="T95" s="44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</row>
    <row r="96" customFormat="false" ht="15" hidden="false" customHeight="true" outlineLevel="0" collapsed="false">
      <c r="A96" s="39"/>
      <c r="B96" s="233"/>
      <c r="C96" s="224"/>
      <c r="D96" s="227"/>
      <c r="E96" s="227"/>
      <c r="F96" s="228"/>
      <c r="G96" s="39"/>
      <c r="H96" s="234" t="n">
        <f aca="false">H95+$H$90</f>
        <v>3360</v>
      </c>
      <c r="I96" s="235" t="n">
        <f aca="false">H96*$D$84</f>
        <v>302400</v>
      </c>
      <c r="J96" s="236" t="n">
        <f aca="false">$C$117</f>
        <v>50031.4</v>
      </c>
      <c r="K96" s="237" t="n">
        <f aca="false">$F$117*H96</f>
        <v>149520</v>
      </c>
      <c r="L96" s="238" t="n">
        <f aca="false">J96+K96</f>
        <v>199551.4</v>
      </c>
      <c r="M96" s="235" t="n">
        <f aca="false">I96-L96</f>
        <v>102848.6</v>
      </c>
      <c r="N96" s="235" t="n">
        <f aca="false">IFERROR(($C$117/H96+$F$117),0)</f>
        <v>59.3902976190476</v>
      </c>
      <c r="O96" s="239" t="n">
        <f aca="false">IFERROR((I96-L96)/I96,0)</f>
        <v>0.340107804232804</v>
      </c>
      <c r="P96" s="240" t="n">
        <f aca="false">IFERROR(IF((($F$56+$F$81)/M96)&lt;0,"не окупится",(($F$56+$F$81)/M96)),0)</f>
        <v>1.70153021042581</v>
      </c>
      <c r="R96" s="215"/>
      <c r="S96" s="43"/>
      <c r="T96" s="44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</row>
    <row r="97" customFormat="false" ht="15" hidden="false" customHeight="true" outlineLevel="0" collapsed="false">
      <c r="A97" s="39"/>
      <c r="B97" s="227" t="s">
        <v>238</v>
      </c>
      <c r="C97" s="228" t="n">
        <v>2000</v>
      </c>
      <c r="D97" s="227"/>
      <c r="E97" s="227"/>
      <c r="F97" s="228"/>
      <c r="G97" s="39"/>
      <c r="H97" s="70"/>
      <c r="I97" s="39"/>
      <c r="J97" s="39"/>
      <c r="K97" s="39"/>
      <c r="L97" s="39"/>
      <c r="M97" s="39"/>
      <c r="N97" s="39"/>
      <c r="O97" s="39"/>
      <c r="P97" s="48"/>
      <c r="R97" s="241" t="n">
        <f aca="false">MIN(R90:R96)</f>
        <v>1919.77777777778</v>
      </c>
      <c r="S97" s="43"/>
      <c r="T97" s="44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</row>
    <row r="98" customFormat="false" ht="15" hidden="false" customHeight="true" outlineLevel="0" collapsed="false">
      <c r="A98" s="39"/>
      <c r="B98" s="227" t="s">
        <v>239</v>
      </c>
      <c r="C98" s="228" t="n">
        <v>10000</v>
      </c>
      <c r="D98" s="227"/>
      <c r="E98" s="227"/>
      <c r="F98" s="228"/>
      <c r="G98" s="39"/>
      <c r="H98" s="242" t="s">
        <v>240</v>
      </c>
      <c r="I98" s="242"/>
      <c r="J98" s="242"/>
      <c r="K98" s="242"/>
      <c r="L98" s="242"/>
      <c r="M98" s="242"/>
      <c r="N98" s="242"/>
      <c r="O98" s="243" t="n">
        <f aca="false">IFERROR(ROUND(C117/(D84-F117),0),0)</f>
        <v>1100</v>
      </c>
      <c r="P98" s="244" t="str">
        <f aca="false">D7</f>
        <v>ед.</v>
      </c>
      <c r="S98" s="43"/>
      <c r="T98" s="44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</row>
    <row r="99" customFormat="false" ht="15" hidden="false" customHeight="true" outlineLevel="0" collapsed="false">
      <c r="A99" s="39"/>
      <c r="B99" s="227"/>
      <c r="C99" s="228"/>
      <c r="D99" s="227"/>
      <c r="E99" s="227"/>
      <c r="F99" s="228"/>
      <c r="G99" s="39"/>
      <c r="H99" s="242"/>
      <c r="I99" s="242"/>
      <c r="J99" s="242"/>
      <c r="K99" s="242"/>
      <c r="L99" s="242"/>
      <c r="M99" s="242"/>
      <c r="N99" s="242"/>
      <c r="O99" s="243"/>
      <c r="P99" s="244"/>
      <c r="S99" s="43"/>
      <c r="T99" s="44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</row>
    <row r="100" customFormat="false" ht="15" hidden="false" customHeight="true" outlineLevel="0" collapsed="false">
      <c r="A100" s="39"/>
      <c r="B100" s="227"/>
      <c r="C100" s="228"/>
      <c r="D100" s="227"/>
      <c r="E100" s="227"/>
      <c r="F100" s="228"/>
      <c r="G100" s="39"/>
      <c r="H100" s="245" t="str">
        <f aca="false">"Минимальная величина дохода (выручки), которая полностью покроет все расходы на производство "&amp;ROUND(O98,0)&amp;" "&amp;D7&amp;" готовой продукции:"</f>
        <v>Минимальная величина дохода (выручки), которая полностью покроет все расходы на производство 1100 ед. готовой продукции:</v>
      </c>
      <c r="I100" s="245"/>
      <c r="J100" s="245"/>
      <c r="K100" s="245"/>
      <c r="L100" s="245"/>
      <c r="M100" s="245"/>
      <c r="N100" s="245"/>
      <c r="O100" s="246" t="n">
        <f aca="false">O98*D84</f>
        <v>99000</v>
      </c>
      <c r="P100" s="247" t="str">
        <f aca="false">D6</f>
        <v>грн.</v>
      </c>
      <c r="S100" s="43"/>
      <c r="T100" s="44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</row>
    <row r="101" customFormat="false" ht="15" hidden="false" customHeight="true" outlineLevel="0" collapsed="false">
      <c r="A101" s="39"/>
      <c r="B101" s="227" t="s">
        <v>241</v>
      </c>
      <c r="C101" s="228" t="n">
        <v>210</v>
      </c>
      <c r="D101" s="227"/>
      <c r="E101" s="227"/>
      <c r="F101" s="228"/>
      <c r="G101" s="39"/>
      <c r="H101" s="245"/>
      <c r="I101" s="245"/>
      <c r="J101" s="245"/>
      <c r="K101" s="245"/>
      <c r="L101" s="245"/>
      <c r="M101" s="245"/>
      <c r="N101" s="245"/>
      <c r="O101" s="246"/>
      <c r="P101" s="247"/>
      <c r="S101" s="43"/>
      <c r="T101" s="44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</row>
    <row r="102" customFormat="false" ht="15" hidden="false" customHeight="true" outlineLevel="0" collapsed="false">
      <c r="A102" s="39"/>
      <c r="B102" s="227" t="s">
        <v>242</v>
      </c>
      <c r="C102" s="228" t="n">
        <v>6000</v>
      </c>
      <c r="D102" s="227"/>
      <c r="E102" s="227"/>
      <c r="F102" s="228"/>
      <c r="G102" s="39"/>
      <c r="H102" s="70"/>
      <c r="I102" s="39"/>
      <c r="J102" s="39"/>
      <c r="K102" s="39"/>
      <c r="L102" s="39"/>
      <c r="M102" s="39"/>
      <c r="N102" s="39"/>
      <c r="O102" s="39"/>
      <c r="P102" s="48"/>
      <c r="S102" s="43"/>
      <c r="T102" s="44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</row>
    <row r="103" customFormat="false" ht="15" hidden="false" customHeight="true" outlineLevel="0" collapsed="false">
      <c r="A103" s="39"/>
      <c r="B103" s="227" t="s">
        <v>243</v>
      </c>
      <c r="C103" s="228" t="n">
        <v>1000</v>
      </c>
      <c r="D103" s="227"/>
      <c r="E103" s="227"/>
      <c r="F103" s="228"/>
      <c r="G103" s="39"/>
      <c r="H103" s="70"/>
      <c r="I103" s="39"/>
      <c r="J103" s="39"/>
      <c r="K103" s="39"/>
      <c r="L103" s="39"/>
      <c r="M103" s="39"/>
      <c r="N103" s="39"/>
      <c r="O103" s="39"/>
      <c r="P103" s="48"/>
      <c r="S103" s="43"/>
      <c r="T103" s="44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</row>
    <row r="104" customFormat="false" ht="14.25" hidden="false" customHeight="true" outlineLevel="0" collapsed="false">
      <c r="A104" s="39"/>
      <c r="B104" s="227" t="s">
        <v>244</v>
      </c>
      <c r="C104" s="228" t="n">
        <v>5000</v>
      </c>
      <c r="D104" s="227"/>
      <c r="E104" s="227"/>
      <c r="F104" s="228"/>
      <c r="G104" s="39"/>
      <c r="H104" s="70"/>
      <c r="I104" s="39"/>
      <c r="J104" s="39"/>
      <c r="K104" s="39"/>
      <c r="L104" s="39"/>
      <c r="M104" s="39"/>
      <c r="N104" s="39"/>
      <c r="O104" s="39"/>
      <c r="P104" s="48"/>
      <c r="S104" s="43"/>
      <c r="T104" s="44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</row>
    <row r="105" customFormat="false" ht="14.25" hidden="false" customHeight="true" outlineLevel="0" collapsed="false">
      <c r="A105" s="39"/>
      <c r="B105" s="227" t="s">
        <v>245</v>
      </c>
      <c r="C105" s="228" t="n">
        <v>2000</v>
      </c>
      <c r="D105" s="227"/>
      <c r="E105" s="227"/>
      <c r="F105" s="228"/>
      <c r="G105" s="39"/>
      <c r="H105" s="70"/>
      <c r="I105" s="39"/>
      <c r="J105" s="39"/>
      <c r="K105" s="39"/>
      <c r="L105" s="39"/>
      <c r="M105" s="39"/>
      <c r="N105" s="39"/>
      <c r="O105" s="39"/>
      <c r="P105" s="48"/>
      <c r="S105" s="43"/>
      <c r="T105" s="44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</row>
    <row r="106" customFormat="false" ht="13.8" hidden="false" customHeight="false" outlineLevel="0" collapsed="false">
      <c r="A106" s="39"/>
      <c r="B106" s="227"/>
      <c r="C106" s="228"/>
      <c r="D106" s="227"/>
      <c r="E106" s="227"/>
      <c r="F106" s="228"/>
      <c r="G106" s="39"/>
      <c r="H106" s="70"/>
      <c r="I106" s="39"/>
      <c r="J106" s="39"/>
      <c r="K106" s="39"/>
      <c r="L106" s="39"/>
      <c r="M106" s="39"/>
      <c r="N106" s="39"/>
      <c r="O106" s="39"/>
      <c r="P106" s="48"/>
      <c r="S106" s="43"/>
      <c r="T106" s="44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</row>
    <row r="107" customFormat="false" ht="13.8" hidden="false" customHeight="false" outlineLevel="0" collapsed="false">
      <c r="A107" s="39"/>
      <c r="B107" s="227"/>
      <c r="C107" s="228"/>
      <c r="D107" s="227"/>
      <c r="E107" s="227"/>
      <c r="F107" s="228"/>
      <c r="G107" s="39"/>
      <c r="H107" s="70"/>
      <c r="I107" s="39"/>
      <c r="J107" s="39"/>
      <c r="K107" s="39"/>
      <c r="L107" s="39"/>
      <c r="M107" s="39"/>
      <c r="N107" s="39"/>
      <c r="O107" s="39"/>
      <c r="P107" s="48"/>
      <c r="S107" s="43"/>
      <c r="T107" s="44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</row>
    <row r="108" customFormat="false" ht="13.8" hidden="false" customHeight="false" outlineLevel="0" collapsed="false">
      <c r="A108" s="39"/>
      <c r="B108" s="227"/>
      <c r="C108" s="228"/>
      <c r="D108" s="227"/>
      <c r="E108" s="227"/>
      <c r="F108" s="228"/>
      <c r="G108" s="39"/>
      <c r="H108" s="70"/>
      <c r="I108" s="39"/>
      <c r="J108" s="39"/>
      <c r="K108" s="39"/>
      <c r="L108" s="39"/>
      <c r="M108" s="39"/>
      <c r="N108" s="39"/>
      <c r="O108" s="39"/>
      <c r="P108" s="48"/>
      <c r="S108" s="43"/>
      <c r="T108" s="44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</row>
    <row r="109" customFormat="false" ht="13.8" hidden="false" customHeight="false" outlineLevel="0" collapsed="false">
      <c r="A109" s="39"/>
      <c r="B109" s="227"/>
      <c r="C109" s="228"/>
      <c r="D109" s="227"/>
      <c r="E109" s="227"/>
      <c r="F109" s="228"/>
      <c r="G109" s="39"/>
      <c r="H109" s="70"/>
      <c r="I109" s="39"/>
      <c r="J109" s="39"/>
      <c r="K109" s="39"/>
      <c r="L109" s="39"/>
      <c r="M109" s="39"/>
      <c r="N109" s="39"/>
      <c r="O109" s="39"/>
      <c r="P109" s="48"/>
      <c r="S109" s="43"/>
      <c r="T109" s="44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</row>
    <row r="110" customFormat="false" ht="13.8" hidden="false" customHeight="false" outlineLevel="0" collapsed="false">
      <c r="A110" s="39"/>
      <c r="B110" s="227"/>
      <c r="C110" s="228"/>
      <c r="D110" s="227"/>
      <c r="E110" s="227"/>
      <c r="F110" s="228"/>
      <c r="G110" s="39"/>
      <c r="H110" s="70"/>
      <c r="I110" s="39"/>
      <c r="J110" s="39"/>
      <c r="K110" s="39"/>
      <c r="L110" s="39"/>
      <c r="M110" s="39"/>
      <c r="N110" s="39"/>
      <c r="O110" s="39"/>
      <c r="P110" s="48"/>
      <c r="S110" s="43"/>
      <c r="T110" s="44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</row>
    <row r="111" customFormat="false" ht="13.8" hidden="false" customHeight="false" outlineLevel="0" collapsed="false">
      <c r="A111" s="39"/>
      <c r="B111" s="227"/>
      <c r="C111" s="228"/>
      <c r="D111" s="227"/>
      <c r="E111" s="227"/>
      <c r="F111" s="228"/>
      <c r="G111" s="39"/>
      <c r="H111" s="70"/>
      <c r="I111" s="39"/>
      <c r="J111" s="39"/>
      <c r="K111" s="39"/>
      <c r="L111" s="39"/>
      <c r="M111" s="39"/>
      <c r="N111" s="39"/>
      <c r="O111" s="39"/>
      <c r="P111" s="48"/>
      <c r="S111" s="43"/>
      <c r="T111" s="44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</row>
    <row r="112" customFormat="false" ht="13.8" hidden="false" customHeight="false" outlineLevel="0" collapsed="false">
      <c r="A112" s="39"/>
      <c r="B112" s="227"/>
      <c r="C112" s="228"/>
      <c r="D112" s="227"/>
      <c r="E112" s="227"/>
      <c r="F112" s="228"/>
      <c r="G112" s="39"/>
      <c r="H112" s="70"/>
      <c r="I112" s="39"/>
      <c r="J112" s="39"/>
      <c r="K112" s="39"/>
      <c r="L112" s="39"/>
      <c r="M112" s="39"/>
      <c r="N112" s="39"/>
      <c r="O112" s="39"/>
      <c r="P112" s="48"/>
      <c r="S112" s="43"/>
      <c r="T112" s="44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</row>
    <row r="113" customFormat="false" ht="13.8" hidden="false" customHeight="false" outlineLevel="0" collapsed="false">
      <c r="A113" s="39"/>
      <c r="B113" s="227"/>
      <c r="C113" s="228"/>
      <c r="D113" s="227"/>
      <c r="E113" s="227"/>
      <c r="F113" s="228"/>
      <c r="G113" s="39"/>
      <c r="H113" s="70"/>
      <c r="I113" s="39"/>
      <c r="J113" s="39"/>
      <c r="K113" s="39"/>
      <c r="L113" s="39"/>
      <c r="M113" s="39"/>
      <c r="N113" s="39"/>
      <c r="O113" s="39"/>
      <c r="P113" s="48"/>
      <c r="S113" s="43"/>
      <c r="T113" s="44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</row>
    <row r="114" customFormat="false" ht="13.8" hidden="false" customHeight="false" outlineLevel="0" collapsed="false">
      <c r="A114" s="39"/>
      <c r="B114" s="227"/>
      <c r="C114" s="228"/>
      <c r="D114" s="227"/>
      <c r="E114" s="227"/>
      <c r="F114" s="228"/>
      <c r="G114" s="39"/>
      <c r="H114" s="70"/>
      <c r="I114" s="39"/>
      <c r="J114" s="39"/>
      <c r="K114" s="39"/>
      <c r="L114" s="39"/>
      <c r="M114" s="39"/>
      <c r="N114" s="39"/>
      <c r="O114" s="39"/>
      <c r="P114" s="48"/>
      <c r="S114" s="43"/>
      <c r="T114" s="44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</row>
    <row r="115" customFormat="false" ht="13.8" hidden="false" customHeight="false" outlineLevel="0" collapsed="false">
      <c r="A115" s="39"/>
      <c r="B115" s="227"/>
      <c r="C115" s="228"/>
      <c r="D115" s="227"/>
      <c r="E115" s="227"/>
      <c r="F115" s="228"/>
      <c r="G115" s="39"/>
      <c r="H115" s="70"/>
      <c r="I115" s="39"/>
      <c r="J115" s="39"/>
      <c r="K115" s="39"/>
      <c r="L115" s="39"/>
      <c r="M115" s="39"/>
      <c r="N115" s="39"/>
      <c r="O115" s="39"/>
      <c r="P115" s="48"/>
      <c r="S115" s="43"/>
      <c r="T115" s="44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</row>
    <row r="116" customFormat="false" ht="13.8" hidden="false" customHeight="false" outlineLevel="0" collapsed="false">
      <c r="A116" s="39"/>
      <c r="B116" s="227"/>
      <c r="C116" s="228"/>
      <c r="D116" s="227"/>
      <c r="E116" s="227"/>
      <c r="F116" s="228"/>
      <c r="G116" s="39"/>
      <c r="H116" s="70"/>
      <c r="I116" s="39"/>
      <c r="J116" s="39"/>
      <c r="K116" s="39"/>
      <c r="L116" s="39"/>
      <c r="M116" s="39"/>
      <c r="N116" s="39"/>
      <c r="O116" s="39"/>
      <c r="P116" s="48"/>
      <c r="S116" s="43"/>
      <c r="T116" s="44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</row>
    <row r="117" customFormat="false" ht="13.8" hidden="false" customHeight="true" outlineLevel="0" collapsed="false">
      <c r="A117" s="39"/>
      <c r="B117" s="248" t="str">
        <f aca="false">IF(L86="Нет","Итого: Постоянные затраты (без учета амортизации)","Итого: Постоянные затраты (с учетом амортизации)")</f>
        <v>Итого: Постоянные затраты (с учетом амортизации)</v>
      </c>
      <c r="C117" s="249" t="n">
        <f aca="false">IF(L86="Нет",SUM(C93:C116),SUM(C92:C116))</f>
        <v>50031.4</v>
      </c>
      <c r="D117" s="250" t="s">
        <v>246</v>
      </c>
      <c r="E117" s="250"/>
      <c r="F117" s="249" t="n">
        <f aca="false">SUM(F92:F116)</f>
        <v>44.5</v>
      </c>
      <c r="G117" s="39"/>
      <c r="H117" s="70"/>
      <c r="I117" s="39"/>
      <c r="J117" s="39"/>
      <c r="K117" s="39"/>
      <c r="L117" s="39"/>
      <c r="M117" s="39"/>
      <c r="N117" s="39"/>
      <c r="O117" s="39"/>
      <c r="P117" s="48"/>
      <c r="S117" s="43"/>
      <c r="T117" s="44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</row>
    <row r="118" customFormat="false" ht="13.8" hidden="false" customHeight="false" outlineLevel="0" collapsed="false">
      <c r="A118" s="39"/>
      <c r="B118" s="248"/>
      <c r="C118" s="249"/>
      <c r="D118" s="250"/>
      <c r="E118" s="250"/>
      <c r="F118" s="249"/>
      <c r="G118" s="39"/>
      <c r="H118" s="70"/>
      <c r="I118" s="39"/>
      <c r="J118" s="39"/>
      <c r="K118" s="39"/>
      <c r="L118" s="39"/>
      <c r="M118" s="39"/>
      <c r="N118" s="39"/>
      <c r="O118" s="39"/>
      <c r="P118" s="48"/>
      <c r="S118" s="43"/>
      <c r="T118" s="44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</row>
    <row r="119" customFormat="false" ht="5.25" hidden="false" customHeight="true" outlineLevel="0" collapsed="false">
      <c r="A119" s="39"/>
      <c r="B119" s="251"/>
      <c r="C119" s="252"/>
      <c r="D119" s="251"/>
      <c r="E119" s="251"/>
      <c r="F119" s="252"/>
      <c r="G119" s="253"/>
      <c r="H119" s="254"/>
      <c r="I119" s="253"/>
      <c r="J119" s="253"/>
      <c r="K119" s="253"/>
      <c r="L119" s="253"/>
      <c r="M119" s="253"/>
      <c r="N119" s="253"/>
      <c r="O119" s="253"/>
      <c r="P119" s="255"/>
      <c r="S119" s="43"/>
      <c r="T119" s="44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</row>
    <row r="120" customFormat="false" ht="16.15" hidden="false" customHeight="true" outlineLevel="0" collapsed="false">
      <c r="A120" s="39"/>
      <c r="B120" s="256"/>
      <c r="C120" s="256"/>
      <c r="D120" s="257"/>
      <c r="E120" s="257"/>
      <c r="F120" s="257"/>
      <c r="G120" s="257"/>
      <c r="H120" s="257"/>
      <c r="I120" s="257"/>
      <c r="J120" s="257"/>
      <c r="K120" s="257"/>
      <c r="L120" s="257"/>
      <c r="M120" s="257"/>
      <c r="N120" s="39"/>
      <c r="O120" s="258" t="s">
        <v>247</v>
      </c>
      <c r="P120" s="258"/>
      <c r="Q120" s="259"/>
      <c r="V120" s="43"/>
    </row>
    <row r="121" customFormat="false" ht="15" hidden="false" customHeight="true" outlineLevel="0" collapsed="false">
      <c r="A121" s="39"/>
      <c r="B121" s="39"/>
      <c r="C121" s="39"/>
      <c r="D121" s="39"/>
      <c r="E121" s="39"/>
      <c r="F121" s="39"/>
      <c r="G121" s="39"/>
      <c r="H121" s="70"/>
      <c r="I121" s="39"/>
      <c r="J121" s="39"/>
      <c r="K121" s="39"/>
      <c r="L121" s="39"/>
      <c r="M121" s="39"/>
      <c r="N121" s="39"/>
      <c r="O121" s="260" t="str">
        <f aca="false">IF(Маркетинг!D3="B2B",Маркетинг!AA1,IF(Маркетинг!D3="B2C",Маркетинг!AA2," "))</f>
        <v>Мужчина и женщина в возрасте 17-40 лет, место проживания которых центральный район города, со средним ежемесячным доходом на уровне 5000 грн.. Их интересы - это социальные сети, Интернет, спорт и рукоделие. Также они увлекаются у женщин вышивание, вязание, готовка вкусных блюд; у мужчин компьютеры, автомобили и имеют такие навыки, как женщины умеют хорошо готовить, а мужчины хорошо владеют компьютером. Основные их ценности - это ведение здорового образа жизни, забота о семье.</v>
      </c>
      <c r="P121" s="260"/>
      <c r="S121" s="43"/>
      <c r="T121" s="44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</row>
    <row r="122" customFormat="false" ht="15" hidden="false" customHeight="true" outlineLevel="0" collapsed="false">
      <c r="A122" s="39"/>
      <c r="B122" s="70"/>
      <c r="C122" s="70"/>
      <c r="D122" s="70"/>
      <c r="E122" s="70"/>
      <c r="F122" s="70"/>
      <c r="G122" s="70"/>
      <c r="H122" s="70"/>
      <c r="I122" s="39"/>
      <c r="J122" s="39"/>
      <c r="K122" s="39"/>
      <c r="L122" s="39"/>
      <c r="M122" s="39"/>
      <c r="N122" s="39"/>
      <c r="O122" s="260"/>
      <c r="P122" s="260"/>
    </row>
    <row r="123" customFormat="false" ht="15" hidden="false" customHeight="true" outlineLevel="0" collapsed="false">
      <c r="A123" s="39"/>
      <c r="B123" s="70"/>
      <c r="C123" s="70"/>
      <c r="D123" s="70"/>
      <c r="E123" s="70"/>
      <c r="F123" s="70"/>
      <c r="G123" s="70"/>
      <c r="H123" s="70"/>
      <c r="I123" s="39"/>
      <c r="J123" s="39"/>
      <c r="K123" s="39"/>
      <c r="L123" s="39"/>
      <c r="M123" s="39"/>
      <c r="N123" s="39"/>
      <c r="O123" s="260"/>
      <c r="P123" s="260"/>
      <c r="V123" s="43"/>
    </row>
    <row r="124" customFormat="false" ht="15" hidden="false" customHeight="true" outlineLevel="0" collapsed="false">
      <c r="A124" s="39"/>
      <c r="B124" s="70"/>
      <c r="C124" s="70"/>
      <c r="D124" s="70"/>
      <c r="E124" s="70"/>
      <c r="F124" s="70"/>
      <c r="G124" s="70"/>
      <c r="H124" s="70"/>
      <c r="I124" s="39"/>
      <c r="J124" s="39"/>
      <c r="K124" s="39"/>
      <c r="L124" s="39"/>
      <c r="M124" s="39"/>
      <c r="N124" s="39"/>
      <c r="O124" s="260"/>
      <c r="P124" s="260"/>
    </row>
    <row r="125" customFormat="false" ht="15" hidden="false" customHeight="true" outlineLevel="0" collapsed="false">
      <c r="A125" s="39"/>
      <c r="B125" s="70"/>
      <c r="C125" s="70"/>
      <c r="D125" s="70"/>
      <c r="E125" s="70"/>
      <c r="F125" s="70"/>
      <c r="G125" s="70"/>
      <c r="H125" s="70"/>
      <c r="I125" s="39"/>
      <c r="J125" s="39"/>
      <c r="K125" s="39"/>
      <c r="L125" s="39"/>
      <c r="M125" s="39"/>
      <c r="N125" s="39"/>
      <c r="O125" s="260"/>
      <c r="P125" s="260"/>
    </row>
    <row r="126" customFormat="false" ht="15" hidden="false" customHeight="true" outlineLevel="0" collapsed="false">
      <c r="A126" s="39"/>
      <c r="B126" s="70"/>
      <c r="C126" s="70"/>
      <c r="D126" s="70"/>
      <c r="E126" s="70"/>
      <c r="F126" s="70"/>
      <c r="G126" s="70"/>
      <c r="H126" s="70"/>
      <c r="I126" s="39"/>
      <c r="J126" s="39"/>
      <c r="K126" s="39"/>
      <c r="L126" s="39"/>
      <c r="M126" s="39"/>
      <c r="N126" s="39"/>
      <c r="O126" s="260"/>
      <c r="P126" s="260"/>
    </row>
    <row r="127" customFormat="false" ht="15" hidden="false" customHeight="true" outlineLevel="0" collapsed="false">
      <c r="A127" s="39"/>
      <c r="B127" s="70"/>
      <c r="C127" s="70"/>
      <c r="D127" s="70"/>
      <c r="E127" s="70"/>
      <c r="F127" s="70"/>
      <c r="G127" s="70"/>
      <c r="H127" s="70"/>
      <c r="I127" s="39"/>
      <c r="J127" s="39"/>
      <c r="K127" s="39"/>
      <c r="L127" s="39"/>
      <c r="M127" s="39"/>
      <c r="N127" s="39"/>
      <c r="O127" s="260"/>
      <c r="P127" s="260"/>
    </row>
    <row r="128" customFormat="false" ht="15" hidden="false" customHeight="true" outlineLevel="0" collapsed="false">
      <c r="A128" s="39"/>
      <c r="B128" s="70"/>
      <c r="C128" s="70"/>
      <c r="D128" s="70"/>
      <c r="E128" s="70"/>
      <c r="F128" s="70"/>
      <c r="G128" s="70"/>
      <c r="H128" s="70"/>
      <c r="I128" s="39"/>
      <c r="J128" s="39"/>
      <c r="K128" s="39"/>
      <c r="L128" s="39"/>
      <c r="M128" s="39"/>
      <c r="N128" s="39"/>
      <c r="O128" s="260"/>
      <c r="P128" s="260"/>
    </row>
    <row r="129" customFormat="false" ht="15" hidden="false" customHeight="true" outlineLevel="0" collapsed="false">
      <c r="A129" s="39"/>
      <c r="B129" s="70"/>
      <c r="C129" s="70"/>
      <c r="D129" s="70"/>
      <c r="E129" s="70"/>
      <c r="F129" s="70"/>
      <c r="G129" s="70"/>
      <c r="H129" s="70"/>
      <c r="I129" s="39"/>
      <c r="J129" s="39"/>
      <c r="K129" s="39"/>
      <c r="L129" s="39"/>
      <c r="M129" s="39"/>
      <c r="N129" s="39"/>
      <c r="O129" s="260"/>
      <c r="P129" s="260"/>
    </row>
    <row r="130" customFormat="false" ht="15" hidden="false" customHeight="true" outlineLevel="0" collapsed="false">
      <c r="A130" s="39"/>
      <c r="B130" s="70"/>
      <c r="C130" s="70"/>
      <c r="D130" s="70"/>
      <c r="E130" s="70"/>
      <c r="F130" s="70"/>
      <c r="G130" s="70"/>
      <c r="H130" s="70"/>
      <c r="I130" s="39"/>
      <c r="J130" s="39"/>
      <c r="K130" s="39"/>
      <c r="L130" s="39"/>
      <c r="M130" s="39"/>
      <c r="N130" s="39"/>
      <c r="O130" s="260"/>
      <c r="P130" s="260"/>
    </row>
    <row r="131" customFormat="false" ht="15" hidden="false" customHeight="true" outlineLevel="0" collapsed="false">
      <c r="A131" s="39"/>
      <c r="B131" s="70"/>
      <c r="C131" s="70"/>
      <c r="D131" s="70"/>
      <c r="E131" s="70"/>
      <c r="F131" s="70"/>
      <c r="G131" s="70"/>
      <c r="H131" s="70"/>
      <c r="I131" s="39"/>
      <c r="J131" s="39"/>
      <c r="K131" s="39"/>
      <c r="L131" s="39"/>
      <c r="M131" s="39"/>
      <c r="N131" s="39"/>
      <c r="O131" s="260"/>
      <c r="P131" s="260"/>
    </row>
    <row r="132" customFormat="false" ht="15" hidden="false" customHeight="true" outlineLevel="0" collapsed="false">
      <c r="A132" s="39"/>
      <c r="B132" s="70"/>
      <c r="C132" s="70"/>
      <c r="D132" s="70"/>
      <c r="E132" s="70"/>
      <c r="F132" s="70"/>
      <c r="G132" s="70"/>
      <c r="H132" s="70"/>
      <c r="I132" s="39"/>
      <c r="J132" s="39"/>
      <c r="K132" s="39"/>
      <c r="L132" s="39"/>
      <c r="M132" s="39"/>
      <c r="N132" s="39"/>
      <c r="O132" s="260"/>
      <c r="P132" s="260"/>
    </row>
    <row r="133" customFormat="false" ht="15" hidden="false" customHeight="true" outlineLevel="0" collapsed="false">
      <c r="A133" s="39"/>
      <c r="B133" s="70"/>
      <c r="C133" s="70"/>
      <c r="D133" s="70"/>
      <c r="E133" s="70"/>
      <c r="F133" s="70"/>
      <c r="G133" s="70"/>
      <c r="H133" s="70"/>
      <c r="I133" s="39"/>
      <c r="J133" s="39"/>
      <c r="K133" s="39"/>
      <c r="L133" s="39"/>
      <c r="M133" s="39"/>
      <c r="N133" s="39"/>
      <c r="O133" s="260"/>
      <c r="P133" s="260"/>
    </row>
    <row r="134" customFormat="false" ht="15" hidden="false" customHeight="true" outlineLevel="0" collapsed="false">
      <c r="A134" s="39"/>
      <c r="B134" s="70"/>
      <c r="C134" s="70"/>
      <c r="D134" s="70"/>
      <c r="E134" s="70"/>
      <c r="F134" s="70"/>
      <c r="G134" s="70"/>
      <c r="H134" s="70"/>
      <c r="I134" s="39"/>
      <c r="J134" s="39"/>
      <c r="K134" s="39"/>
      <c r="L134" s="39"/>
      <c r="M134" s="39"/>
      <c r="N134" s="39"/>
      <c r="O134" s="260"/>
      <c r="P134" s="260"/>
    </row>
    <row r="135" customFormat="false" ht="15" hidden="false" customHeight="true" outlineLevel="0" collapsed="false">
      <c r="A135" s="39"/>
      <c r="B135" s="39"/>
      <c r="C135" s="39"/>
      <c r="D135" s="39"/>
      <c r="E135" s="39"/>
      <c r="F135" s="39"/>
      <c r="G135" s="39"/>
      <c r="H135" s="70"/>
      <c r="I135" s="39"/>
      <c r="J135" s="39"/>
      <c r="K135" s="39"/>
      <c r="L135" s="39"/>
      <c r="M135" s="39"/>
      <c r="N135" s="39"/>
      <c r="O135" s="260"/>
      <c r="P135" s="260"/>
    </row>
    <row r="136" customFormat="false" ht="15" hidden="false" customHeight="true" outlineLevel="0" collapsed="false">
      <c r="A136" s="39"/>
      <c r="B136" s="199"/>
      <c r="C136" s="199"/>
      <c r="D136" s="199"/>
      <c r="E136" s="199"/>
      <c r="F136" s="199"/>
      <c r="G136" s="199"/>
      <c r="H136" s="261"/>
      <c r="I136" s="199"/>
      <c r="J136" s="199"/>
      <c r="K136" s="199"/>
      <c r="L136" s="199"/>
      <c r="M136" s="199"/>
      <c r="N136" s="262"/>
      <c r="O136" s="260"/>
      <c r="P136" s="260"/>
    </row>
    <row r="137" customFormat="false" ht="18" hidden="false" customHeight="true" outlineLevel="0" collapsed="false">
      <c r="A137" s="39"/>
      <c r="B137" s="263" t="s">
        <v>248</v>
      </c>
      <c r="C137" s="263"/>
      <c r="D137" s="264" t="str">
        <f aca="false">'План анализа'!C63</f>
        <v>секретный итальянский соус для пиццы и фирменный рецепт основы, которая долгое вредя остается мягкой</v>
      </c>
      <c r="E137" s="264"/>
      <c r="F137" s="264"/>
      <c r="G137" s="264"/>
      <c r="H137" s="264"/>
      <c r="I137" s="264"/>
      <c r="J137" s="264"/>
      <c r="K137" s="264"/>
      <c r="L137" s="264"/>
      <c r="M137" s="264"/>
      <c r="N137" s="262"/>
      <c r="O137" s="260"/>
      <c r="P137" s="260"/>
    </row>
    <row r="138" customFormat="false" ht="6" hidden="false" customHeight="true" outlineLevel="0" collapsed="false">
      <c r="A138" s="39"/>
      <c r="B138" s="265"/>
      <c r="C138" s="199"/>
      <c r="D138" s="199"/>
      <c r="E138" s="199"/>
      <c r="F138" s="199"/>
      <c r="G138" s="199"/>
      <c r="H138" s="261"/>
      <c r="I138" s="199"/>
      <c r="J138" s="199"/>
      <c r="K138" s="199"/>
      <c r="L138" s="199"/>
      <c r="M138" s="266"/>
      <c r="N138" s="199"/>
      <c r="O138" s="199"/>
      <c r="P138" s="267"/>
    </row>
    <row r="139" customFormat="false" ht="17.25" hidden="false" customHeight="true" outlineLevel="0" collapsed="false">
      <c r="A139" s="39"/>
      <c r="B139" s="263" t="s">
        <v>249</v>
      </c>
      <c r="C139" s="263"/>
      <c r="D139" s="268" t="str">
        <f aca="false">Маркетинг!X25</f>
        <v>Наша стратегия заключается в проведении широкомасштабных рекламных кампаний в районе, где располагается наша пиццерия.</v>
      </c>
      <c r="E139" s="268"/>
      <c r="F139" s="268"/>
      <c r="G139" s="268"/>
      <c r="H139" s="268"/>
      <c r="I139" s="268"/>
      <c r="J139" s="268"/>
      <c r="K139" s="268"/>
      <c r="L139" s="268"/>
      <c r="M139" s="268"/>
      <c r="N139" s="268"/>
      <c r="O139" s="268"/>
      <c r="P139" s="268"/>
    </row>
    <row r="140" customFormat="false" ht="15" hidden="false" customHeight="true" outlineLevel="0" collapsed="false">
      <c r="A140" s="48"/>
      <c r="B140" s="269"/>
      <c r="C140" s="25"/>
      <c r="D140" s="270" t="str">
        <f aca="false">Маркетинг!X27</f>
        <v>Основные элементы стратегии - это раздача листовок на улице, в близстоящих офисах и у учебных заведений, реклама в Интернет.</v>
      </c>
      <c r="E140" s="270"/>
      <c r="F140" s="270"/>
      <c r="G140" s="270"/>
      <c r="H140" s="270"/>
      <c r="I140" s="270"/>
      <c r="J140" s="270"/>
      <c r="K140" s="270"/>
      <c r="L140" s="270"/>
      <c r="M140" s="270"/>
      <c r="N140" s="270"/>
      <c r="O140" s="270"/>
      <c r="P140" s="270"/>
      <c r="R140" s="37"/>
      <c r="S140" s="37"/>
      <c r="T140" s="271"/>
      <c r="U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</row>
    <row r="141" customFormat="false" ht="14.9" hidden="false" customHeight="false" outlineLevel="0" collapsed="false">
      <c r="A141" s="48"/>
      <c r="B141" s="269"/>
      <c r="C141" s="25"/>
      <c r="D141" s="270" t="str">
        <f aca="false">Маркетинг!X29</f>
        <v>Основным посланием нашим потенциальным клиента будет: вкусная пицца на основе секретного соуса ведущего итальянского пиццайоло по доступной цене.</v>
      </c>
      <c r="E141" s="270"/>
      <c r="F141" s="270"/>
      <c r="G141" s="270"/>
      <c r="H141" s="270"/>
      <c r="I141" s="270"/>
      <c r="J141" s="270"/>
      <c r="K141" s="270"/>
      <c r="L141" s="270"/>
      <c r="M141" s="270"/>
      <c r="N141" s="270"/>
      <c r="O141" s="270"/>
      <c r="P141" s="270"/>
      <c r="R141" s="37"/>
      <c r="S141" s="37"/>
      <c r="T141" s="271"/>
      <c r="U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</row>
    <row r="142" customFormat="false" ht="14.9" hidden="false" customHeight="false" outlineLevel="0" collapsed="false">
      <c r="A142" s="48"/>
      <c r="B142" s="269"/>
      <c r="C142" s="25"/>
      <c r="D142" s="270" t="str">
        <f aca="false">Маркетинг!X31</f>
        <v>Эффективность нашей стратегии заключается в предложении пиццы приготовленной исключительно по итальянскому рецепту из качественных продуктов.</v>
      </c>
      <c r="E142" s="270"/>
      <c r="F142" s="270"/>
      <c r="G142" s="270"/>
      <c r="H142" s="270"/>
      <c r="I142" s="270"/>
      <c r="J142" s="270"/>
      <c r="K142" s="270"/>
      <c r="L142" s="270"/>
      <c r="M142" s="270"/>
      <c r="N142" s="270"/>
      <c r="O142" s="270"/>
      <c r="P142" s="270"/>
      <c r="R142" s="37"/>
      <c r="S142" s="37"/>
      <c r="T142" s="271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</row>
    <row r="143" customFormat="false" ht="14.9" hidden="false" customHeight="false" outlineLevel="0" collapsed="false">
      <c r="A143" s="48"/>
      <c r="B143" s="272"/>
      <c r="C143" s="267"/>
      <c r="D143" s="273" t="str">
        <f aca="false">Маркетинг!X33</f>
        <v>Основной способ реализации нашей продукции - это продажа пиццы на вынос из нашей пиццерии, а также заключим договор с местной фирмой по доставке еды.</v>
      </c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73"/>
      <c r="P143" s="273"/>
      <c r="R143" s="37"/>
      <c r="S143" s="37"/>
      <c r="T143" s="271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</row>
    <row r="144" customFormat="false" ht="17.25" hidden="false" customHeight="true" outlineLevel="0" collapsed="false">
      <c r="A144" s="39"/>
      <c r="B144" s="274" t="s">
        <v>250</v>
      </c>
      <c r="C144" s="274"/>
      <c r="D144" s="268" t="str">
        <f aca="false">Маркетинг!X35</f>
        <v>Главным образом наша реклама будет адресована студентам и сотрудникам офисов, а также молодым родителям и их детям.</v>
      </c>
      <c r="E144" s="268"/>
      <c r="F144" s="268"/>
      <c r="G144" s="268"/>
      <c r="H144" s="268"/>
      <c r="I144" s="268"/>
      <c r="J144" s="268"/>
      <c r="K144" s="268"/>
      <c r="L144" s="268"/>
      <c r="M144" s="268"/>
      <c r="N144" s="268"/>
      <c r="O144" s="268"/>
      <c r="P144" s="268"/>
      <c r="V144" s="37"/>
    </row>
    <row r="145" customFormat="false" ht="17.25" hidden="false" customHeight="true" outlineLevel="0" collapsed="false">
      <c r="A145" s="48"/>
      <c r="B145" s="272"/>
      <c r="C145" s="275"/>
      <c r="D145" s="273" t="str">
        <f aca="false">Маркетинг!X37</f>
        <v>Для привлечения потенциальных клиентов, мы мспользовать такие источники рекламы, как Интернет, билборды, ролики в общественном транспорте.</v>
      </c>
      <c r="E145" s="273"/>
      <c r="F145" s="273"/>
      <c r="G145" s="273"/>
      <c r="H145" s="273"/>
      <c r="I145" s="273"/>
      <c r="J145" s="273"/>
      <c r="K145" s="273"/>
      <c r="L145" s="273"/>
      <c r="M145" s="273"/>
      <c r="N145" s="273"/>
      <c r="O145" s="273"/>
      <c r="P145" s="273"/>
      <c r="R145" s="37"/>
      <c r="S145" s="37"/>
      <c r="T145" s="271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</row>
    <row r="146" customFormat="false" ht="17.25" hidden="false" customHeight="true" outlineLevel="0" collapsed="false">
      <c r="A146" s="39"/>
      <c r="B146" s="274" t="s">
        <v>251</v>
      </c>
      <c r="C146" s="274"/>
      <c r="D146" s="268" t="str">
        <f aca="false">Маркетинг!X40</f>
        <v>С целью увеличения продаж, мы используем такие приемы: при покупке сразу пяти пицц, мы будем предоставлять скидку в 10% от общей суммы покупки.</v>
      </c>
      <c r="E146" s="268"/>
      <c r="F146" s="268"/>
      <c r="G146" s="268"/>
      <c r="H146" s="268"/>
      <c r="I146" s="268"/>
      <c r="J146" s="268"/>
      <c r="K146" s="268"/>
      <c r="L146" s="268"/>
      <c r="M146" s="268"/>
      <c r="N146" s="268"/>
      <c r="O146" s="268"/>
      <c r="P146" s="268"/>
    </row>
    <row r="147" customFormat="false" ht="16.15" hidden="false" customHeight="false" outlineLevel="0" collapsed="false">
      <c r="A147" s="39"/>
      <c r="B147" s="276"/>
      <c r="C147" s="256"/>
      <c r="D147" s="270" t="str">
        <f aca="false">Маркетинг!X42</f>
        <v>Периодичность проведения таких акций: акция будет действовать на постоянной основе.</v>
      </c>
      <c r="E147" s="270"/>
      <c r="F147" s="270"/>
      <c r="G147" s="270"/>
      <c r="H147" s="270"/>
      <c r="I147" s="270"/>
      <c r="J147" s="270"/>
      <c r="K147" s="270"/>
      <c r="L147" s="270"/>
      <c r="M147" s="270"/>
      <c r="N147" s="270"/>
      <c r="O147" s="270"/>
      <c r="P147" s="270"/>
      <c r="V147" s="37"/>
    </row>
    <row r="148" customFormat="false" ht="14.9" hidden="false" customHeight="false" outlineLevel="0" collapsed="false">
      <c r="A148" s="48"/>
      <c r="B148" s="272"/>
      <c r="C148" s="275"/>
      <c r="D148" s="273" t="str">
        <f aca="false">Маркетинг!X44</f>
        <v>О чём мы будем информировать наших клиентов, используя такие источники, как почтовые рассылки через Интернет, раздача флаеров на улице и возле офисов.</v>
      </c>
      <c r="E148" s="273"/>
      <c r="F148" s="273"/>
      <c r="G148" s="273"/>
      <c r="H148" s="273"/>
      <c r="I148" s="273"/>
      <c r="J148" s="273"/>
      <c r="K148" s="273"/>
      <c r="L148" s="273"/>
      <c r="M148" s="273"/>
      <c r="N148" s="273"/>
      <c r="O148" s="273"/>
      <c r="P148" s="273"/>
      <c r="R148" s="37"/>
      <c r="S148" s="37"/>
      <c r="T148" s="271"/>
      <c r="U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</row>
    <row r="149" customFormat="false" ht="6" hidden="false" customHeight="true" outlineLevel="0" collapsed="false">
      <c r="A149" s="39"/>
      <c r="B149" s="39"/>
      <c r="C149" s="39"/>
      <c r="D149" s="39"/>
      <c r="E149" s="39"/>
      <c r="F149" s="39"/>
      <c r="G149" s="39"/>
      <c r="H149" s="70"/>
      <c r="I149" s="39"/>
      <c r="J149" s="39"/>
      <c r="K149" s="39"/>
      <c r="L149" s="39"/>
      <c r="M149" s="39"/>
      <c r="N149" s="39"/>
      <c r="O149" s="39"/>
      <c r="P149" s="48"/>
    </row>
    <row r="150" customFormat="false" ht="16.4" hidden="false" customHeight="true" outlineLevel="0" collapsed="false">
      <c r="A150" s="39"/>
      <c r="B150" s="263" t="s">
        <v>252</v>
      </c>
      <c r="C150" s="263"/>
      <c r="D150" s="277"/>
      <c r="E150" s="277"/>
      <c r="F150" s="277"/>
      <c r="G150" s="277"/>
      <c r="H150" s="278"/>
      <c r="I150" s="277"/>
      <c r="J150" s="277"/>
      <c r="K150" s="277"/>
      <c r="L150" s="277"/>
      <c r="M150" s="277"/>
      <c r="N150" s="277"/>
      <c r="O150" s="277"/>
      <c r="P150" s="279"/>
      <c r="V150" s="37"/>
    </row>
    <row r="151" customFormat="false" ht="13.8" hidden="false" customHeight="false" outlineLevel="0" collapsed="false">
      <c r="A151" s="39"/>
      <c r="B151" s="280"/>
      <c r="C151" s="281"/>
      <c r="D151" s="281"/>
      <c r="E151" s="281"/>
      <c r="F151" s="281"/>
      <c r="G151" s="281"/>
      <c r="H151" s="282"/>
      <c r="I151" s="283" t="s">
        <v>253</v>
      </c>
      <c r="J151" s="284"/>
      <c r="K151" s="285"/>
      <c r="L151" s="285"/>
      <c r="M151" s="285"/>
      <c r="N151" s="285"/>
      <c r="O151" s="285"/>
      <c r="P151" s="286"/>
    </row>
    <row r="152" customFormat="false" ht="13.8" hidden="false" customHeight="false" outlineLevel="0" collapsed="false">
      <c r="A152" s="39"/>
      <c r="B152" s="287" t="s">
        <v>254</v>
      </c>
      <c r="C152" s="288" t="s">
        <v>3</v>
      </c>
      <c r="D152" s="288" t="s">
        <v>255</v>
      </c>
      <c r="E152" s="288"/>
      <c r="F152" s="288"/>
      <c r="G152" s="281"/>
      <c r="H152" s="282"/>
      <c r="I152" s="289"/>
      <c r="J152" s="289"/>
      <c r="K152" s="289"/>
      <c r="L152" s="290"/>
      <c r="M152" s="291"/>
      <c r="N152" s="291" t="s">
        <v>256</v>
      </c>
      <c r="O152" s="291"/>
      <c r="P152" s="286"/>
    </row>
    <row r="153" customFormat="false" ht="13.8" hidden="false" customHeight="false" outlineLevel="0" collapsed="false">
      <c r="A153" s="39"/>
      <c r="B153" s="280"/>
      <c r="C153" s="292" t="s">
        <v>11</v>
      </c>
      <c r="D153" s="292" t="s">
        <v>257</v>
      </c>
      <c r="E153" s="292"/>
      <c r="F153" s="292"/>
      <c r="G153" s="281"/>
      <c r="H153" s="282"/>
      <c r="I153" s="289"/>
      <c r="J153" s="289"/>
      <c r="K153" s="289"/>
      <c r="L153" s="290"/>
      <c r="M153" s="289"/>
      <c r="N153" s="289"/>
      <c r="O153" s="290"/>
      <c r="P153" s="286"/>
    </row>
    <row r="154" customFormat="false" ht="13.8" hidden="false" customHeight="false" outlineLevel="0" collapsed="false">
      <c r="A154" s="39"/>
      <c r="B154" s="280"/>
      <c r="C154" s="292" t="s">
        <v>17</v>
      </c>
      <c r="D154" s="292" t="s">
        <v>258</v>
      </c>
      <c r="E154" s="292"/>
      <c r="F154" s="292"/>
      <c r="G154" s="281"/>
      <c r="H154" s="282"/>
      <c r="I154" s="289"/>
      <c r="J154" s="289"/>
      <c r="K154" s="289"/>
      <c r="L154" s="290"/>
      <c r="M154" s="289"/>
      <c r="N154" s="289"/>
      <c r="O154" s="290"/>
      <c r="P154" s="286"/>
    </row>
    <row r="155" customFormat="false" ht="13.8" hidden="false" customHeight="false" outlineLevel="0" collapsed="false">
      <c r="A155" s="39"/>
      <c r="B155" s="280"/>
      <c r="C155" s="292" t="s">
        <v>19</v>
      </c>
      <c r="D155" s="292" t="s">
        <v>259</v>
      </c>
      <c r="E155" s="292"/>
      <c r="F155" s="292"/>
      <c r="G155" s="281"/>
      <c r="H155" s="282"/>
      <c r="I155" s="289"/>
      <c r="J155" s="289"/>
      <c r="K155" s="289"/>
      <c r="L155" s="290"/>
      <c r="M155" s="289"/>
      <c r="N155" s="289"/>
      <c r="O155" s="290"/>
      <c r="P155" s="286"/>
    </row>
    <row r="156" customFormat="false" ht="13.8" hidden="false" customHeight="false" outlineLevel="0" collapsed="false">
      <c r="A156" s="39"/>
      <c r="B156" s="280"/>
      <c r="C156" s="281"/>
      <c r="D156" s="281"/>
      <c r="E156" s="281"/>
      <c r="F156" s="281"/>
      <c r="G156" s="281"/>
      <c r="H156" s="282"/>
      <c r="I156" s="289"/>
      <c r="J156" s="289"/>
      <c r="K156" s="289"/>
      <c r="L156" s="290"/>
      <c r="M156" s="289"/>
      <c r="N156" s="293" t="s">
        <v>260</v>
      </c>
      <c r="O156" s="290"/>
      <c r="P156" s="286"/>
    </row>
    <row r="157" customFormat="false" ht="13.8" hidden="false" customHeight="false" outlineLevel="0" collapsed="false">
      <c r="A157" s="39"/>
      <c r="B157" s="287" t="s">
        <v>261</v>
      </c>
      <c r="C157" s="281"/>
      <c r="D157" s="281"/>
      <c r="E157" s="281"/>
      <c r="F157" s="281"/>
      <c r="G157" s="281"/>
      <c r="H157" s="282"/>
      <c r="I157" s="289"/>
      <c r="J157" s="289"/>
      <c r="K157" s="289"/>
      <c r="L157" s="290"/>
      <c r="M157" s="289"/>
      <c r="N157" s="289"/>
      <c r="O157" s="290"/>
      <c r="P157" s="286"/>
    </row>
    <row r="158" customFormat="false" ht="13.8" hidden="false" customHeight="false" outlineLevel="0" collapsed="false">
      <c r="A158" s="39"/>
      <c r="B158" s="280"/>
      <c r="C158" s="281"/>
      <c r="D158" s="281"/>
      <c r="E158" s="281"/>
      <c r="F158" s="281"/>
      <c r="G158" s="281"/>
      <c r="H158" s="282"/>
      <c r="I158" s="289"/>
      <c r="J158" s="289"/>
      <c r="K158" s="289"/>
      <c r="L158" s="290"/>
      <c r="M158" s="289"/>
      <c r="N158" s="289"/>
      <c r="O158" s="290"/>
      <c r="P158" s="286"/>
    </row>
    <row r="159" customFormat="false" ht="13.8" hidden="false" customHeight="false" outlineLevel="0" collapsed="false">
      <c r="A159" s="39"/>
      <c r="B159" s="280"/>
      <c r="C159" s="281"/>
      <c r="D159" s="281"/>
      <c r="E159" s="281"/>
      <c r="F159" s="281"/>
      <c r="G159" s="281"/>
      <c r="H159" s="282"/>
      <c r="I159" s="289"/>
      <c r="J159" s="289"/>
      <c r="K159" s="289"/>
      <c r="L159" s="290"/>
      <c r="M159" s="289"/>
      <c r="N159" s="289"/>
      <c r="O159" s="290"/>
      <c r="P159" s="286"/>
    </row>
    <row r="160" customFormat="false" ht="13.8" hidden="false" customHeight="false" outlineLevel="0" collapsed="false">
      <c r="A160" s="39"/>
      <c r="B160" s="280"/>
      <c r="C160" s="281"/>
      <c r="D160" s="281"/>
      <c r="E160" s="281"/>
      <c r="F160" s="281"/>
      <c r="G160" s="281"/>
      <c r="H160" s="282"/>
      <c r="I160" s="289"/>
      <c r="J160" s="289"/>
      <c r="K160" s="289"/>
      <c r="L160" s="290"/>
      <c r="M160" s="289"/>
      <c r="N160" s="289"/>
      <c r="O160" s="290"/>
      <c r="P160" s="286"/>
    </row>
    <row r="161" customFormat="false" ht="13.8" hidden="false" customHeight="false" outlineLevel="0" collapsed="false">
      <c r="A161" s="39"/>
      <c r="B161" s="280"/>
      <c r="C161" s="281"/>
      <c r="D161" s="281"/>
      <c r="E161" s="281"/>
      <c r="F161" s="281"/>
      <c r="G161" s="281"/>
      <c r="H161" s="282"/>
      <c r="I161" s="294"/>
      <c r="J161" s="294"/>
      <c r="K161" s="294"/>
      <c r="L161" s="295"/>
      <c r="M161" s="289"/>
      <c r="N161" s="289"/>
      <c r="O161" s="290"/>
      <c r="P161" s="286"/>
    </row>
    <row r="162" customFormat="false" ht="13.8" hidden="false" customHeight="false" outlineLevel="0" collapsed="false">
      <c r="A162" s="39"/>
      <c r="B162" s="280"/>
      <c r="C162" s="281"/>
      <c r="D162" s="281"/>
      <c r="E162" s="281"/>
      <c r="F162" s="281"/>
      <c r="G162" s="281"/>
      <c r="H162" s="282"/>
      <c r="I162" s="291"/>
      <c r="J162" s="289"/>
      <c r="K162" s="289"/>
      <c r="L162" s="289"/>
      <c r="M162" s="289"/>
      <c r="N162" s="289"/>
      <c r="O162" s="290"/>
      <c r="P162" s="286"/>
    </row>
    <row r="163" customFormat="false" ht="13.8" hidden="false" customHeight="false" outlineLevel="0" collapsed="false">
      <c r="A163" s="39"/>
      <c r="B163" s="280"/>
      <c r="C163" s="281"/>
      <c r="D163" s="281"/>
      <c r="E163" s="281"/>
      <c r="F163" s="281"/>
      <c r="G163" s="281"/>
      <c r="H163" s="282"/>
      <c r="I163" s="296" t="s">
        <v>262</v>
      </c>
      <c r="J163" s="289"/>
      <c r="K163" s="289"/>
      <c r="L163" s="289"/>
      <c r="M163" s="289"/>
      <c r="N163" s="289"/>
      <c r="O163" s="290"/>
      <c r="P163" s="286"/>
    </row>
    <row r="164" customFormat="false" ht="13.8" hidden="false" customHeight="false" outlineLevel="0" collapsed="false">
      <c r="A164" s="39"/>
      <c r="B164" s="280"/>
      <c r="C164" s="281"/>
      <c r="D164" s="281"/>
      <c r="E164" s="281"/>
      <c r="F164" s="281"/>
      <c r="G164" s="281"/>
      <c r="H164" s="282"/>
      <c r="I164" s="296"/>
      <c r="J164" s="297"/>
      <c r="K164" s="294"/>
      <c r="L164" s="294"/>
      <c r="M164" s="298" t="s">
        <v>263</v>
      </c>
      <c r="N164" s="298"/>
      <c r="O164" s="298"/>
      <c r="P164" s="286"/>
    </row>
    <row r="165" customFormat="false" ht="13.8" hidden="false" customHeight="false" outlineLevel="0" collapsed="false">
      <c r="A165" s="39"/>
      <c r="B165" s="280"/>
      <c r="C165" s="281"/>
      <c r="D165" s="281"/>
      <c r="E165" s="281"/>
      <c r="F165" s="281"/>
      <c r="G165" s="281"/>
      <c r="H165" s="282"/>
      <c r="I165" s="291" t="s">
        <v>264</v>
      </c>
      <c r="J165" s="299" t="s">
        <v>265</v>
      </c>
      <c r="K165" s="299"/>
      <c r="L165" s="291" t="s">
        <v>266</v>
      </c>
      <c r="M165" s="289"/>
      <c r="N165" s="289"/>
      <c r="O165" s="291"/>
      <c r="P165" s="286"/>
    </row>
    <row r="166" customFormat="false" ht="13.8" hidden="false" customHeight="false" outlineLevel="0" collapsed="false">
      <c r="A166" s="39"/>
      <c r="B166" s="280"/>
      <c r="C166" s="281"/>
      <c r="D166" s="281"/>
      <c r="E166" s="281"/>
      <c r="F166" s="281"/>
      <c r="G166" s="281"/>
      <c r="H166" s="282"/>
      <c r="I166" s="296" t="s">
        <v>267</v>
      </c>
      <c r="J166" s="290"/>
      <c r="K166" s="290" t="s">
        <v>268</v>
      </c>
      <c r="L166" s="296" t="s">
        <v>269</v>
      </c>
      <c r="M166" s="300" t="s">
        <v>266</v>
      </c>
      <c r="N166" s="301" t="s">
        <v>270</v>
      </c>
      <c r="O166" s="296" t="s">
        <v>271</v>
      </c>
      <c r="P166" s="286"/>
    </row>
    <row r="167" customFormat="false" ht="13.8" hidden="false" customHeight="false" outlineLevel="0" collapsed="false">
      <c r="A167" s="39"/>
      <c r="B167" s="280"/>
      <c r="C167" s="281"/>
      <c r="D167" s="281"/>
      <c r="E167" s="281"/>
      <c r="F167" s="281"/>
      <c r="G167" s="281"/>
      <c r="H167" s="282"/>
      <c r="I167" s="296" t="s">
        <v>272</v>
      </c>
      <c r="J167" s="290"/>
      <c r="K167" s="290" t="s">
        <v>273</v>
      </c>
      <c r="L167" s="302" t="s">
        <v>274</v>
      </c>
      <c r="M167" s="289"/>
      <c r="N167" s="289"/>
      <c r="O167" s="302"/>
      <c r="P167" s="286"/>
    </row>
    <row r="168" customFormat="false" ht="13.8" hidden="false" customHeight="false" outlineLevel="0" collapsed="false">
      <c r="A168" s="39"/>
      <c r="B168" s="280"/>
      <c r="C168" s="281"/>
      <c r="D168" s="281"/>
      <c r="E168" s="281"/>
      <c r="F168" s="281"/>
      <c r="G168" s="281"/>
      <c r="H168" s="282"/>
      <c r="I168" s="302" t="s">
        <v>275</v>
      </c>
      <c r="J168" s="289"/>
      <c r="K168" s="299"/>
      <c r="L168" s="289"/>
      <c r="M168" s="289"/>
      <c r="N168" s="289"/>
      <c r="O168" s="290"/>
      <c r="P168" s="286"/>
    </row>
    <row r="169" customFormat="false" ht="13.8" hidden="false" customHeight="false" outlineLevel="0" collapsed="false">
      <c r="A169" s="39"/>
      <c r="B169" s="280"/>
      <c r="C169" s="281"/>
      <c r="D169" s="281"/>
      <c r="E169" s="281"/>
      <c r="F169" s="281"/>
      <c r="G169" s="281"/>
      <c r="H169" s="282"/>
      <c r="I169" s="296"/>
      <c r="J169" s="293" t="s">
        <v>276</v>
      </c>
      <c r="K169" s="289"/>
      <c r="L169" s="289"/>
      <c r="M169" s="289"/>
      <c r="N169" s="293" t="s">
        <v>277</v>
      </c>
      <c r="O169" s="290"/>
      <c r="P169" s="286"/>
    </row>
    <row r="170" customFormat="false" ht="13.8" hidden="false" customHeight="false" outlineLevel="0" collapsed="false">
      <c r="A170" s="39"/>
      <c r="B170" s="280"/>
      <c r="C170" s="281"/>
      <c r="D170" s="281"/>
      <c r="E170" s="281"/>
      <c r="F170" s="281"/>
      <c r="G170" s="281"/>
      <c r="H170" s="282"/>
      <c r="I170" s="296"/>
      <c r="J170" s="289"/>
      <c r="K170" s="289"/>
      <c r="L170" s="289"/>
      <c r="M170" s="289"/>
      <c r="N170" s="289"/>
      <c r="O170" s="290"/>
      <c r="P170" s="286"/>
    </row>
    <row r="171" customFormat="false" ht="13.8" hidden="false" customHeight="false" outlineLevel="0" collapsed="false">
      <c r="A171" s="39"/>
      <c r="B171" s="280"/>
      <c r="C171" s="281"/>
      <c r="D171" s="281"/>
      <c r="E171" s="281"/>
      <c r="F171" s="281"/>
      <c r="G171" s="281"/>
      <c r="H171" s="282"/>
      <c r="I171" s="296" t="s">
        <v>278</v>
      </c>
      <c r="J171" s="289"/>
      <c r="K171" s="290"/>
      <c r="L171" s="289"/>
      <c r="M171" s="289"/>
      <c r="N171" s="289"/>
      <c r="O171" s="290"/>
      <c r="P171" s="286"/>
    </row>
    <row r="172" customFormat="false" ht="13.8" hidden="false" customHeight="false" outlineLevel="0" collapsed="false">
      <c r="A172" s="39"/>
      <c r="B172" s="280"/>
      <c r="C172" s="281"/>
      <c r="D172" s="281"/>
      <c r="E172" s="281"/>
      <c r="F172" s="281"/>
      <c r="G172" s="281"/>
      <c r="H172" s="282"/>
      <c r="I172" s="302"/>
      <c r="J172" s="289"/>
      <c r="K172" s="291" t="s">
        <v>279</v>
      </c>
      <c r="L172" s="289"/>
      <c r="M172" s="289"/>
      <c r="N172" s="289"/>
      <c r="O172" s="290"/>
      <c r="P172" s="286"/>
    </row>
    <row r="173" customFormat="false" ht="13.8" hidden="false" customHeight="false" outlineLevel="0" collapsed="false">
      <c r="A173" s="39"/>
      <c r="B173" s="280"/>
      <c r="C173" s="281"/>
      <c r="D173" s="281"/>
      <c r="E173" s="281"/>
      <c r="F173" s="281"/>
      <c r="G173" s="281"/>
      <c r="H173" s="282"/>
      <c r="I173" s="296"/>
      <c r="J173" s="289"/>
      <c r="K173" s="302" t="s">
        <v>280</v>
      </c>
      <c r="L173" s="289"/>
      <c r="M173" s="289"/>
      <c r="N173" s="289"/>
      <c r="O173" s="291"/>
      <c r="P173" s="286"/>
    </row>
    <row r="174" customFormat="false" ht="13.8" hidden="false" customHeight="false" outlineLevel="0" collapsed="false">
      <c r="A174" s="39"/>
      <c r="B174" s="280"/>
      <c r="C174" s="281"/>
      <c r="D174" s="281"/>
      <c r="E174" s="281"/>
      <c r="F174" s="281"/>
      <c r="G174" s="281"/>
      <c r="H174" s="282"/>
      <c r="I174" s="296"/>
      <c r="J174" s="290"/>
      <c r="K174" s="289"/>
      <c r="L174" s="291" t="s">
        <v>281</v>
      </c>
      <c r="M174" s="303"/>
      <c r="N174" s="299"/>
      <c r="O174" s="296" t="s">
        <v>282</v>
      </c>
      <c r="P174" s="286"/>
    </row>
    <row r="175" customFormat="false" ht="13.8" hidden="false" customHeight="false" outlineLevel="0" collapsed="false">
      <c r="A175" s="39"/>
      <c r="B175" s="280"/>
      <c r="C175" s="281"/>
      <c r="D175" s="281"/>
      <c r="E175" s="281"/>
      <c r="F175" s="281"/>
      <c r="G175" s="281"/>
      <c r="H175" s="282"/>
      <c r="I175" s="296" t="s">
        <v>283</v>
      </c>
      <c r="J175" s="291" t="s">
        <v>284</v>
      </c>
      <c r="K175" s="289" t="s">
        <v>285</v>
      </c>
      <c r="L175" s="296" t="s">
        <v>286</v>
      </c>
      <c r="M175" s="296" t="s">
        <v>287</v>
      </c>
      <c r="N175" s="296"/>
      <c r="O175" s="296" t="s">
        <v>288</v>
      </c>
      <c r="P175" s="286"/>
    </row>
    <row r="176" customFormat="false" ht="13.8" hidden="false" customHeight="false" outlineLevel="0" collapsed="false">
      <c r="A176" s="39"/>
      <c r="B176" s="280"/>
      <c r="C176" s="281"/>
      <c r="D176" s="281"/>
      <c r="E176" s="281"/>
      <c r="F176" s="281"/>
      <c r="G176" s="281"/>
      <c r="H176" s="282"/>
      <c r="I176" s="302"/>
      <c r="J176" s="295" t="s">
        <v>289</v>
      </c>
      <c r="K176" s="294"/>
      <c r="L176" s="302" t="s">
        <v>280</v>
      </c>
      <c r="M176" s="297"/>
      <c r="N176" s="295"/>
      <c r="O176" s="302"/>
      <c r="P176" s="286"/>
    </row>
    <row r="177" customFormat="false" ht="13.8" hidden="false" customHeight="false" outlineLevel="0" collapsed="false">
      <c r="A177" s="39"/>
      <c r="B177" s="304"/>
      <c r="C177" s="305"/>
      <c r="D177" s="305"/>
      <c r="E177" s="305"/>
      <c r="F177" s="305"/>
      <c r="G177" s="305"/>
      <c r="H177" s="306"/>
      <c r="I177" s="305"/>
      <c r="J177" s="305"/>
      <c r="K177" s="305"/>
      <c r="L177" s="305"/>
      <c r="M177" s="305"/>
      <c r="N177" s="305"/>
      <c r="O177" s="305"/>
      <c r="P177" s="307"/>
    </row>
    <row r="178" customFormat="false" ht="6" hidden="false" customHeight="true" outlineLevel="0" collapsed="false">
      <c r="A178" s="39"/>
      <c r="B178" s="39"/>
      <c r="C178" s="39"/>
      <c r="D178" s="39"/>
      <c r="E178" s="39"/>
      <c r="F178" s="39"/>
      <c r="G178" s="39"/>
      <c r="H178" s="70"/>
      <c r="I178" s="39"/>
      <c r="J178" s="39"/>
      <c r="K178" s="39"/>
      <c r="L178" s="39"/>
      <c r="M178" s="39"/>
      <c r="N178" s="39"/>
      <c r="O178" s="39"/>
      <c r="P178" s="48"/>
    </row>
  </sheetData>
  <mergeCells count="332">
    <mergeCell ref="C1:G1"/>
    <mergeCell ref="H1:P1"/>
    <mergeCell ref="C3:F3"/>
    <mergeCell ref="H3:K3"/>
    <mergeCell ref="L3:P3"/>
    <mergeCell ref="B5:C5"/>
    <mergeCell ref="H5:K5"/>
    <mergeCell ref="B6:C6"/>
    <mergeCell ref="H6:J6"/>
    <mergeCell ref="K6:P6"/>
    <mergeCell ref="B7:C7"/>
    <mergeCell ref="H7:J7"/>
    <mergeCell ref="K7:P7"/>
    <mergeCell ref="H8:J8"/>
    <mergeCell ref="K8:P8"/>
    <mergeCell ref="B9:E9"/>
    <mergeCell ref="B10:C10"/>
    <mergeCell ref="D10:E10"/>
    <mergeCell ref="H10:K10"/>
    <mergeCell ref="B11:C11"/>
    <mergeCell ref="H11:P11"/>
    <mergeCell ref="B12:C12"/>
    <mergeCell ref="H12:P12"/>
    <mergeCell ref="H13:P13"/>
    <mergeCell ref="B14:E14"/>
    <mergeCell ref="F14:K14"/>
    <mergeCell ref="M14:N14"/>
    <mergeCell ref="B15:C15"/>
    <mergeCell ref="F15:P15"/>
    <mergeCell ref="B16:C16"/>
    <mergeCell ref="I16:J16"/>
    <mergeCell ref="K16:P16"/>
    <mergeCell ref="B17:C17"/>
    <mergeCell ref="B18:C18"/>
    <mergeCell ref="D18:G18"/>
    <mergeCell ref="I18:O18"/>
    <mergeCell ref="B19:C19"/>
    <mergeCell ref="B20:C20"/>
    <mergeCell ref="I20:N20"/>
    <mergeCell ref="O20:P20"/>
    <mergeCell ref="B21:C21"/>
    <mergeCell ref="B22:I22"/>
    <mergeCell ref="B23:E23"/>
    <mergeCell ref="H23:J23"/>
    <mergeCell ref="K23:P23"/>
    <mergeCell ref="B25:C27"/>
    <mergeCell ref="D25:D27"/>
    <mergeCell ref="E25:E27"/>
    <mergeCell ref="F25:G27"/>
    <mergeCell ref="H25:H27"/>
    <mergeCell ref="I25:J27"/>
    <mergeCell ref="K25:L27"/>
    <mergeCell ref="M25:M27"/>
    <mergeCell ref="N25:N27"/>
    <mergeCell ref="O25:O27"/>
    <mergeCell ref="P25:P27"/>
    <mergeCell ref="B28:C28"/>
    <mergeCell ref="F28:G28"/>
    <mergeCell ref="I28:J28"/>
    <mergeCell ref="K28:L28"/>
    <mergeCell ref="B29:C29"/>
    <mergeCell ref="F29:G29"/>
    <mergeCell ref="I29:J29"/>
    <mergeCell ref="K29:L29"/>
    <mergeCell ref="B30:C30"/>
    <mergeCell ref="F30:G30"/>
    <mergeCell ref="I30:J30"/>
    <mergeCell ref="K30:L30"/>
    <mergeCell ref="B31:C31"/>
    <mergeCell ref="F31:G31"/>
    <mergeCell ref="I31:J31"/>
    <mergeCell ref="K31:L31"/>
    <mergeCell ref="B32:C32"/>
    <mergeCell ref="F32:G32"/>
    <mergeCell ref="I32:J32"/>
    <mergeCell ref="K32:L32"/>
    <mergeCell ref="B33:C33"/>
    <mergeCell ref="F33:G33"/>
    <mergeCell ref="I33:J33"/>
    <mergeCell ref="K33:L33"/>
    <mergeCell ref="B34:C34"/>
    <mergeCell ref="F34:G34"/>
    <mergeCell ref="I34:J34"/>
    <mergeCell ref="K34:L34"/>
    <mergeCell ref="B35:C35"/>
    <mergeCell ref="F35:G35"/>
    <mergeCell ref="I35:J35"/>
    <mergeCell ref="K35:L35"/>
    <mergeCell ref="B36:C36"/>
    <mergeCell ref="F36:G36"/>
    <mergeCell ref="I36:J36"/>
    <mergeCell ref="K36:L36"/>
    <mergeCell ref="B37:C37"/>
    <mergeCell ref="F37:G37"/>
    <mergeCell ref="I37:J37"/>
    <mergeCell ref="K37:L37"/>
    <mergeCell ref="B38:C38"/>
    <mergeCell ref="F38:G38"/>
    <mergeCell ref="I38:J38"/>
    <mergeCell ref="K38:L38"/>
    <mergeCell ref="B39:C39"/>
    <mergeCell ref="F39:G39"/>
    <mergeCell ref="I39:J39"/>
    <mergeCell ref="K39:L39"/>
    <mergeCell ref="B40:C40"/>
    <mergeCell ref="F40:G40"/>
    <mergeCell ref="I40:J40"/>
    <mergeCell ref="K40:L40"/>
    <mergeCell ref="B41:C41"/>
    <mergeCell ref="F41:G41"/>
    <mergeCell ref="I41:J41"/>
    <mergeCell ref="K41:L41"/>
    <mergeCell ref="B42:C42"/>
    <mergeCell ref="F42:G42"/>
    <mergeCell ref="I42:J42"/>
    <mergeCell ref="K42:L42"/>
    <mergeCell ref="B43:C43"/>
    <mergeCell ref="F43:G43"/>
    <mergeCell ref="I43:J43"/>
    <mergeCell ref="K43:L43"/>
    <mergeCell ref="B44:C44"/>
    <mergeCell ref="F44:G44"/>
    <mergeCell ref="I44:J44"/>
    <mergeCell ref="K44:L44"/>
    <mergeCell ref="B45:C45"/>
    <mergeCell ref="F45:G45"/>
    <mergeCell ref="I45:J45"/>
    <mergeCell ref="K45:L45"/>
    <mergeCell ref="B46:C46"/>
    <mergeCell ref="F46:G46"/>
    <mergeCell ref="I46:J46"/>
    <mergeCell ref="K46:L46"/>
    <mergeCell ref="B47:C47"/>
    <mergeCell ref="F47:G47"/>
    <mergeCell ref="I47:J47"/>
    <mergeCell ref="K47:L47"/>
    <mergeCell ref="B48:C48"/>
    <mergeCell ref="F48:G48"/>
    <mergeCell ref="I48:J48"/>
    <mergeCell ref="K48:L48"/>
    <mergeCell ref="B49:C49"/>
    <mergeCell ref="F49:G49"/>
    <mergeCell ref="I49:J49"/>
    <mergeCell ref="K49:L49"/>
    <mergeCell ref="B50:C50"/>
    <mergeCell ref="F50:G50"/>
    <mergeCell ref="I50:J50"/>
    <mergeCell ref="K50:L50"/>
    <mergeCell ref="B51:C51"/>
    <mergeCell ref="F51:G51"/>
    <mergeCell ref="I51:J51"/>
    <mergeCell ref="K51:L51"/>
    <mergeCell ref="B52:C52"/>
    <mergeCell ref="F52:G52"/>
    <mergeCell ref="I52:J52"/>
    <mergeCell ref="K52:L52"/>
    <mergeCell ref="B53:C53"/>
    <mergeCell ref="F53:G53"/>
    <mergeCell ref="I53:J53"/>
    <mergeCell ref="K53:L53"/>
    <mergeCell ref="B54:C54"/>
    <mergeCell ref="F54:G54"/>
    <mergeCell ref="I54:J54"/>
    <mergeCell ref="K54:L54"/>
    <mergeCell ref="B55:C55"/>
    <mergeCell ref="F55:G55"/>
    <mergeCell ref="I55:J55"/>
    <mergeCell ref="K55:L55"/>
    <mergeCell ref="B56:C56"/>
    <mergeCell ref="F56:G56"/>
    <mergeCell ref="I56:J56"/>
    <mergeCell ref="K56:L56"/>
    <mergeCell ref="B58:C58"/>
    <mergeCell ref="J58:N58"/>
    <mergeCell ref="B60:D60"/>
    <mergeCell ref="B61:C63"/>
    <mergeCell ref="D61:D63"/>
    <mergeCell ref="E61:E63"/>
    <mergeCell ref="F61:G63"/>
    <mergeCell ref="H61:H63"/>
    <mergeCell ref="I61:J63"/>
    <mergeCell ref="K61:L63"/>
    <mergeCell ref="B64:C64"/>
    <mergeCell ref="F64:G64"/>
    <mergeCell ref="I64:J64"/>
    <mergeCell ref="K64:L64"/>
    <mergeCell ref="B65:C65"/>
    <mergeCell ref="F65:G65"/>
    <mergeCell ref="I65:J65"/>
    <mergeCell ref="K65:L65"/>
    <mergeCell ref="B66:C66"/>
    <mergeCell ref="F66:G66"/>
    <mergeCell ref="I66:J66"/>
    <mergeCell ref="K66:L66"/>
    <mergeCell ref="B67:C67"/>
    <mergeCell ref="F67:G67"/>
    <mergeCell ref="I67:J67"/>
    <mergeCell ref="K67:L67"/>
    <mergeCell ref="B68:C68"/>
    <mergeCell ref="F68:G68"/>
    <mergeCell ref="I68:J68"/>
    <mergeCell ref="K68:L68"/>
    <mergeCell ref="B69:C69"/>
    <mergeCell ref="F69:G69"/>
    <mergeCell ref="I69:J69"/>
    <mergeCell ref="K69:L69"/>
    <mergeCell ref="B70:C70"/>
    <mergeCell ref="F70:G70"/>
    <mergeCell ref="I70:J70"/>
    <mergeCell ref="K70:L70"/>
    <mergeCell ref="B71:C71"/>
    <mergeCell ref="F71:G71"/>
    <mergeCell ref="I71:J71"/>
    <mergeCell ref="K71:L71"/>
    <mergeCell ref="B72:C72"/>
    <mergeCell ref="F72:G72"/>
    <mergeCell ref="I72:J72"/>
    <mergeCell ref="K72:L72"/>
    <mergeCell ref="B73:C73"/>
    <mergeCell ref="F73:G73"/>
    <mergeCell ref="I73:J73"/>
    <mergeCell ref="K73:L73"/>
    <mergeCell ref="B74:C74"/>
    <mergeCell ref="F74:G74"/>
    <mergeCell ref="I74:J74"/>
    <mergeCell ref="K74:L74"/>
    <mergeCell ref="B75:C75"/>
    <mergeCell ref="F75:G75"/>
    <mergeCell ref="I75:J75"/>
    <mergeCell ref="K75:L75"/>
    <mergeCell ref="B76:C76"/>
    <mergeCell ref="F76:G76"/>
    <mergeCell ref="I76:J76"/>
    <mergeCell ref="K76:L76"/>
    <mergeCell ref="B77:C77"/>
    <mergeCell ref="F77:G77"/>
    <mergeCell ref="I77:J77"/>
    <mergeCell ref="K77:L77"/>
    <mergeCell ref="B78:C78"/>
    <mergeCell ref="F78:G78"/>
    <mergeCell ref="I78:J78"/>
    <mergeCell ref="K78:L78"/>
    <mergeCell ref="B79:C79"/>
    <mergeCell ref="F79:G79"/>
    <mergeCell ref="I79:J79"/>
    <mergeCell ref="K79:L79"/>
    <mergeCell ref="B80:C80"/>
    <mergeCell ref="F80:G80"/>
    <mergeCell ref="I80:J80"/>
    <mergeCell ref="K80:L80"/>
    <mergeCell ref="B81:C81"/>
    <mergeCell ref="F81:G81"/>
    <mergeCell ref="I81:J81"/>
    <mergeCell ref="K81:L81"/>
    <mergeCell ref="B83:E83"/>
    <mergeCell ref="B84:C84"/>
    <mergeCell ref="F84:P85"/>
    <mergeCell ref="B85:C85"/>
    <mergeCell ref="B86:C86"/>
    <mergeCell ref="H86:K86"/>
    <mergeCell ref="B88:C89"/>
    <mergeCell ref="D88:F89"/>
    <mergeCell ref="H88:H89"/>
    <mergeCell ref="I88:I89"/>
    <mergeCell ref="J88:J89"/>
    <mergeCell ref="K88:K89"/>
    <mergeCell ref="L88:L89"/>
    <mergeCell ref="M88:M89"/>
    <mergeCell ref="N88:N89"/>
    <mergeCell ref="O88:O89"/>
    <mergeCell ref="P88:P89"/>
    <mergeCell ref="B90:B91"/>
    <mergeCell ref="C90:C91"/>
    <mergeCell ref="D90:E91"/>
    <mergeCell ref="F90:F91"/>
    <mergeCell ref="D92:E92"/>
    <mergeCell ref="D93:E93"/>
    <mergeCell ref="D94:E94"/>
    <mergeCell ref="D95:E95"/>
    <mergeCell ref="D96:E96"/>
    <mergeCell ref="D97:E97"/>
    <mergeCell ref="D98:E98"/>
    <mergeCell ref="H98:N99"/>
    <mergeCell ref="O98:O99"/>
    <mergeCell ref="P98:P99"/>
    <mergeCell ref="D99:E99"/>
    <mergeCell ref="D100:E100"/>
    <mergeCell ref="H100:N101"/>
    <mergeCell ref="O100:O101"/>
    <mergeCell ref="P100:P101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B117:B118"/>
    <mergeCell ref="C117:C118"/>
    <mergeCell ref="D117:E118"/>
    <mergeCell ref="F117:F118"/>
    <mergeCell ref="B120:C120"/>
    <mergeCell ref="D120:M120"/>
    <mergeCell ref="O120:P120"/>
    <mergeCell ref="O121:P137"/>
    <mergeCell ref="B137:C137"/>
    <mergeCell ref="D137:M137"/>
    <mergeCell ref="B139:C139"/>
    <mergeCell ref="D139:P139"/>
    <mergeCell ref="D140:P140"/>
    <mergeCell ref="D141:P141"/>
    <mergeCell ref="D142:P142"/>
    <mergeCell ref="D143:P143"/>
    <mergeCell ref="B144:C144"/>
    <mergeCell ref="D144:P144"/>
    <mergeCell ref="D145:P145"/>
    <mergeCell ref="B146:C146"/>
    <mergeCell ref="D146:P146"/>
    <mergeCell ref="D147:P147"/>
    <mergeCell ref="D148:P148"/>
    <mergeCell ref="B150:C150"/>
    <mergeCell ref="M164:O164"/>
    <mergeCell ref="M175:N175"/>
  </mergeCells>
  <conditionalFormatting sqref="M90:M96">
    <cfRule type="cellIs" priority="2" operator="lessThan" aboveAverage="0" equalAverage="0" bottom="0" percent="0" rank="0" text="" dxfId="14">
      <formula>0</formula>
    </cfRule>
  </conditionalFormatting>
  <conditionalFormatting sqref="O90:O96">
    <cfRule type="dataBar" priority="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{423AC885-961A-48C8-8816-97B120565116}</x14:id>
        </ext>
      </extLst>
    </cfRule>
  </conditionalFormatting>
  <conditionalFormatting sqref="H90:N90">
    <cfRule type="expression" priority="4" aboveAverage="0" equalAverage="0" bottom="0" percent="0" rank="0" text="" dxfId="15">
      <formula>$O$90&gt;0</formula>
    </cfRule>
  </conditionalFormatting>
  <conditionalFormatting sqref="H96:N96">
    <cfRule type="expression" priority="5" aboveAverage="0" equalAverage="0" bottom="0" percent="0" rank="0" text="" dxfId="16">
      <formula>$O$96&gt;0</formula>
    </cfRule>
  </conditionalFormatting>
  <conditionalFormatting sqref="H91:N91">
    <cfRule type="expression" priority="6" aboveAverage="0" equalAverage="0" bottom="0" percent="0" rank="0" text="" dxfId="17">
      <formula>$O$91&gt;0</formula>
    </cfRule>
  </conditionalFormatting>
  <conditionalFormatting sqref="H92:N92">
    <cfRule type="expression" priority="7" aboveAverage="0" equalAverage="0" bottom="0" percent="0" rank="0" text="" dxfId="18">
      <formula>$O$92&gt;0</formula>
    </cfRule>
  </conditionalFormatting>
  <conditionalFormatting sqref="H93:N93">
    <cfRule type="expression" priority="8" aboveAverage="0" equalAverage="0" bottom="0" percent="0" rank="0" text="" dxfId="19">
      <formula>$O$93&gt;0</formula>
    </cfRule>
  </conditionalFormatting>
  <conditionalFormatting sqref="H94:N94">
    <cfRule type="expression" priority="9" aboveAverage="0" equalAverage="0" bottom="0" percent="0" rank="0" text="" dxfId="20">
      <formula>$O$94&gt;0</formula>
    </cfRule>
  </conditionalFormatting>
  <conditionalFormatting sqref="H95:N95">
    <cfRule type="expression" priority="10" aboveAverage="0" equalAverage="0" bottom="0" percent="0" rank="0" text="" dxfId="21">
      <formula>$O$95&gt;0</formula>
    </cfRule>
  </conditionalFormatting>
  <conditionalFormatting sqref="N90:N96">
    <cfRule type="cellIs" priority="11" operator="greaterThan" aboveAverage="0" equalAverage="0" bottom="0" percent="0" rank="0" text="" dxfId="22">
      <formula>$D$84</formula>
    </cfRule>
  </conditionalFormatting>
  <conditionalFormatting sqref="D19:D21">
    <cfRule type="cellIs" priority="12" operator="greaterThan" aboveAverage="0" equalAverage="0" bottom="0" percent="0" rank="0" text="" dxfId="23">
      <formula>0</formula>
    </cfRule>
  </conditionalFormatting>
  <conditionalFormatting sqref="D5 D85">
    <cfRule type="cellIs" priority="13" operator="greaterThan" aboveAverage="0" equalAverage="0" bottom="0" percent="0" rank="0" text="" dxfId="24">
      <formula>0</formula>
    </cfRule>
  </conditionalFormatting>
  <conditionalFormatting sqref="E5">
    <cfRule type="cellIs" priority="14" operator="greaterThan" aboveAverage="0" equalAverage="0" bottom="0" percent="0" rank="0" text="" dxfId="25">
      <formula>0</formula>
    </cfRule>
  </conditionalFormatting>
  <conditionalFormatting sqref="D7">
    <cfRule type="cellIs" priority="15" operator="greaterThan" aboveAverage="0" equalAverage="0" bottom="0" percent="0" rank="0" text="" dxfId="26">
      <formula>0</formula>
    </cfRule>
  </conditionalFormatting>
  <conditionalFormatting sqref="H11:H13">
    <cfRule type="cellIs" priority="16" operator="greaterThan" aboveAverage="0" equalAverage="0" bottom="0" percent="0" rank="0" text="" dxfId="27">
      <formula>0</formula>
    </cfRule>
  </conditionalFormatting>
  <conditionalFormatting sqref="B92">
    <cfRule type="cellIs" priority="17" operator="greaterThan" aboveAverage="0" equalAverage="0" bottom="0" percent="0" rank="0" text="" dxfId="28">
      <formula>0</formula>
    </cfRule>
  </conditionalFormatting>
  <conditionalFormatting sqref="C92">
    <cfRule type="cellIs" priority="18" operator="greaterThan" aboveAverage="0" equalAverage="0" bottom="0" percent="0" rank="0" text="" dxfId="29">
      <formula>0</formula>
    </cfRule>
  </conditionalFormatting>
  <conditionalFormatting sqref="D92:E92">
    <cfRule type="cellIs" priority="19" operator="greaterThan" aboveAverage="0" equalAverage="0" bottom="0" percent="0" rank="0" text="" dxfId="30">
      <formula>0</formula>
    </cfRule>
  </conditionalFormatting>
  <conditionalFormatting sqref="F92">
    <cfRule type="cellIs" priority="20" operator="greaterThan" aboveAverage="0" equalAverage="0" bottom="0" percent="0" rank="0" text="" dxfId="31">
      <formula>0</formula>
    </cfRule>
  </conditionalFormatting>
  <conditionalFormatting sqref="B93">
    <cfRule type="cellIs" priority="21" operator="greaterThan" aboveAverage="0" equalAverage="0" bottom="0" percent="0" rank="0" text="" dxfId="32">
      <formula>0</formula>
    </cfRule>
    <cfRule type="expression" priority="22" aboveAverage="0" equalAverage="0" bottom="0" percent="0" rank="0" text="" dxfId="33">
      <formula>B92&gt;0</formula>
    </cfRule>
  </conditionalFormatting>
  <conditionalFormatting sqref="D84">
    <cfRule type="cellIs" priority="23" operator="greaterThan" aboveAverage="0" equalAverage="0" bottom="0" percent="0" rank="0" text="" dxfId="34">
      <formula>0</formula>
    </cfRule>
  </conditionalFormatting>
  <conditionalFormatting sqref="D93:E93 C110:C111 F110:F111">
    <cfRule type="cellIs" priority="24" operator="greaterThan" aboveAverage="0" equalAverage="0" bottom="0" percent="0" rank="0" text="" dxfId="35">
      <formula>0</formula>
    </cfRule>
    <cfRule type="expression" priority="25" aboveAverage="0" equalAverage="0" bottom="0" percent="0" rank="0" text="" dxfId="36">
      <formula>C75&gt;0</formula>
    </cfRule>
  </conditionalFormatting>
  <conditionalFormatting sqref="B95">
    <cfRule type="cellIs" priority="26" operator="greaterThan" aboveAverage="0" equalAverage="0" bottom="0" percent="0" rank="0" text="" dxfId="37">
      <formula>0</formula>
    </cfRule>
    <cfRule type="expression" priority="27" aboveAverage="0" equalAverage="0" bottom="0" percent="0" rank="0" text="" dxfId="38">
      <formula>B94&gt;0</formula>
    </cfRule>
  </conditionalFormatting>
  <conditionalFormatting sqref="B96">
    <cfRule type="cellIs" priority="28" operator="greaterThan" aboveAverage="0" equalAverage="0" bottom="0" percent="0" rank="0" text="" dxfId="39">
      <formula>0</formula>
    </cfRule>
    <cfRule type="expression" priority="29" aboveAverage="0" equalAverage="0" bottom="0" percent="0" rank="0" text="" dxfId="40">
      <formula>B95&gt;0</formula>
    </cfRule>
  </conditionalFormatting>
  <conditionalFormatting sqref="B97">
    <cfRule type="cellIs" priority="30" operator="greaterThan" aboveAverage="0" equalAverage="0" bottom="0" percent="0" rank="0" text="" dxfId="41">
      <formula>0</formula>
    </cfRule>
    <cfRule type="expression" priority="31" aboveAverage="0" equalAverage="0" bottom="0" percent="0" rank="0" text="" dxfId="42">
      <formula>B96&gt;0</formula>
    </cfRule>
  </conditionalFormatting>
  <conditionalFormatting sqref="B98">
    <cfRule type="cellIs" priority="32" operator="greaterThan" aboveAverage="0" equalAverage="0" bottom="0" percent="0" rank="0" text="" dxfId="43">
      <formula>0</formula>
    </cfRule>
    <cfRule type="expression" priority="33" aboveAverage="0" equalAverage="0" bottom="0" percent="0" rank="0" text="" dxfId="44">
      <formula>B97&gt;0</formula>
    </cfRule>
  </conditionalFormatting>
  <conditionalFormatting sqref="B99">
    <cfRule type="cellIs" priority="34" operator="greaterThan" aboveAverage="0" equalAverage="0" bottom="0" percent="0" rank="0" text="" dxfId="45">
      <formula>0</formula>
    </cfRule>
    <cfRule type="expression" priority="35" aboveAverage="0" equalAverage="0" bottom="0" percent="0" rank="0" text="" dxfId="46">
      <formula>B98&gt;0</formula>
    </cfRule>
  </conditionalFormatting>
  <conditionalFormatting sqref="B100">
    <cfRule type="cellIs" priority="36" operator="greaterThan" aboveAverage="0" equalAverage="0" bottom="0" percent="0" rank="0" text="" dxfId="47">
      <formula>0</formula>
    </cfRule>
    <cfRule type="expression" priority="37" aboveAverage="0" equalAverage="0" bottom="0" percent="0" rank="0" text="" dxfId="48">
      <formula>B99&gt;0</formula>
    </cfRule>
  </conditionalFormatting>
  <conditionalFormatting sqref="B101">
    <cfRule type="cellIs" priority="38" operator="greaterThan" aboveAverage="0" equalAverage="0" bottom="0" percent="0" rank="0" text="" dxfId="49">
      <formula>0</formula>
    </cfRule>
    <cfRule type="expression" priority="39" aboveAverage="0" equalAverage="0" bottom="0" percent="0" rank="0" text="" dxfId="50">
      <formula>B100&gt;0</formula>
    </cfRule>
  </conditionalFormatting>
  <conditionalFormatting sqref="B102">
    <cfRule type="cellIs" priority="40" operator="greaterThan" aboveAverage="0" equalAverage="0" bottom="0" percent="0" rank="0" text="" dxfId="51">
      <formula>0</formula>
    </cfRule>
    <cfRule type="expression" priority="41" aboveAverage="0" equalAverage="0" bottom="0" percent="0" rank="0" text="" dxfId="52">
      <formula>B101&gt;0</formula>
    </cfRule>
  </conditionalFormatting>
  <conditionalFormatting sqref="B103">
    <cfRule type="cellIs" priority="42" operator="greaterThan" aboveAverage="0" equalAverage="0" bottom="0" percent="0" rank="0" text="" dxfId="53">
      <formula>0</formula>
    </cfRule>
    <cfRule type="expression" priority="43" aboveAverage="0" equalAverage="0" bottom="0" percent="0" rank="0" text="" dxfId="54">
      <formula>B102&gt;0</formula>
    </cfRule>
  </conditionalFormatting>
  <conditionalFormatting sqref="B104">
    <cfRule type="cellIs" priority="44" operator="greaterThan" aboveAverage="0" equalAverage="0" bottom="0" percent="0" rank="0" text="" dxfId="55">
      <formula>0</formula>
    </cfRule>
    <cfRule type="expression" priority="45" aboveAverage="0" equalAverage="0" bottom="0" percent="0" rank="0" text="" dxfId="56">
      <formula>B103&gt;0</formula>
    </cfRule>
  </conditionalFormatting>
  <conditionalFormatting sqref="B105">
    <cfRule type="cellIs" priority="46" operator="greaterThan" aboveAverage="0" equalAverage="0" bottom="0" percent="0" rank="0" text="" dxfId="57">
      <formula>0</formula>
    </cfRule>
    <cfRule type="expression" priority="47" aboveAverage="0" equalAverage="0" bottom="0" percent="0" rank="0" text="" dxfId="58">
      <formula>B104&gt;0</formula>
    </cfRule>
  </conditionalFormatting>
  <conditionalFormatting sqref="B106">
    <cfRule type="cellIs" priority="48" operator="greaterThan" aboveAverage="0" equalAverage="0" bottom="0" percent="0" rank="0" text="" dxfId="59">
      <formula>0</formula>
    </cfRule>
    <cfRule type="expression" priority="49" aboveAverage="0" equalAverage="0" bottom="0" percent="0" rank="0" text="" dxfId="60">
      <formula>B105&gt;0</formula>
    </cfRule>
  </conditionalFormatting>
  <conditionalFormatting sqref="B107">
    <cfRule type="cellIs" priority="50" operator="greaterThan" aboveAverage="0" equalAverage="0" bottom="0" percent="0" rank="0" text="" dxfId="61">
      <formula>0</formula>
    </cfRule>
    <cfRule type="expression" priority="51" aboveAverage="0" equalAverage="0" bottom="0" percent="0" rank="0" text="" dxfId="62">
      <formula>B106&gt;0</formula>
    </cfRule>
  </conditionalFormatting>
  <conditionalFormatting sqref="B108">
    <cfRule type="cellIs" priority="52" operator="greaterThan" aboveAverage="0" equalAverage="0" bottom="0" percent="0" rank="0" text="" dxfId="63">
      <formula>0</formula>
    </cfRule>
    <cfRule type="expression" priority="53" aboveAverage="0" equalAverage="0" bottom="0" percent="0" rank="0" text="" dxfId="64">
      <formula>B107&gt;0</formula>
    </cfRule>
  </conditionalFormatting>
  <conditionalFormatting sqref="B109">
    <cfRule type="cellIs" priority="54" operator="greaterThan" aboveAverage="0" equalAverage="0" bottom="0" percent="0" rank="0" text="" dxfId="65">
      <formula>0</formula>
    </cfRule>
    <cfRule type="expression" priority="55" aboveAverage="0" equalAverage="0" bottom="0" percent="0" rank="0" text="" dxfId="66">
      <formula>B108&gt;0</formula>
    </cfRule>
  </conditionalFormatting>
  <conditionalFormatting sqref="D94:E94">
    <cfRule type="cellIs" priority="56" operator="greaterThan" aboveAverage="0" equalAverage="0" bottom="0" percent="0" rank="0" text="" dxfId="67">
      <formula>0</formula>
    </cfRule>
    <cfRule type="expression" priority="57" aboveAverage="0" equalAverage="0" bottom="0" percent="0" rank="0" text="" dxfId="68">
      <formula>D93&gt;0</formula>
    </cfRule>
  </conditionalFormatting>
  <conditionalFormatting sqref="D95:E95">
    <cfRule type="cellIs" priority="58" operator="greaterThan" aboveAverage="0" equalAverage="0" bottom="0" percent="0" rank="0" text="" dxfId="69">
      <formula>0</formula>
    </cfRule>
    <cfRule type="expression" priority="59" aboveAverage="0" equalAverage="0" bottom="0" percent="0" rank="0" text="" dxfId="70">
      <formula>D94&gt;0</formula>
    </cfRule>
  </conditionalFormatting>
  <conditionalFormatting sqref="D96:E96">
    <cfRule type="cellIs" priority="60" operator="greaterThan" aboveAverage="0" equalAverage="0" bottom="0" percent="0" rank="0" text="" dxfId="71">
      <formula>0</formula>
    </cfRule>
    <cfRule type="expression" priority="61" aboveAverage="0" equalAverage="0" bottom="0" percent="0" rank="0" text="" dxfId="72">
      <formula>D95&gt;0</formula>
    </cfRule>
  </conditionalFormatting>
  <conditionalFormatting sqref="D97:E97">
    <cfRule type="cellIs" priority="62" operator="greaterThan" aboveAverage="0" equalAverage="0" bottom="0" percent="0" rank="0" text="" dxfId="73">
      <formula>0</formula>
    </cfRule>
    <cfRule type="expression" priority="63" aboveAverage="0" equalAverage="0" bottom="0" percent="0" rank="0" text="" dxfId="74">
      <formula>D96&gt;0</formula>
    </cfRule>
  </conditionalFormatting>
  <conditionalFormatting sqref="D98:E98">
    <cfRule type="cellIs" priority="64" operator="greaterThan" aboveAverage="0" equalAverage="0" bottom="0" percent="0" rank="0" text="" dxfId="75">
      <formula>0</formula>
    </cfRule>
    <cfRule type="expression" priority="65" aboveAverage="0" equalAverage="0" bottom="0" percent="0" rank="0" text="" dxfId="76">
      <formula>D97&gt;0</formula>
    </cfRule>
  </conditionalFormatting>
  <conditionalFormatting sqref="D99:E99">
    <cfRule type="cellIs" priority="66" operator="greaterThan" aboveAverage="0" equalAverage="0" bottom="0" percent="0" rank="0" text="" dxfId="77">
      <formula>0</formula>
    </cfRule>
    <cfRule type="expression" priority="67" aboveAverage="0" equalAverage="0" bottom="0" percent="0" rank="0" text="" dxfId="78">
      <formula>D98&gt;0</formula>
    </cfRule>
  </conditionalFormatting>
  <conditionalFormatting sqref="D100:E100">
    <cfRule type="cellIs" priority="68" operator="greaterThan" aboveAverage="0" equalAverage="0" bottom="0" percent="0" rank="0" text="" dxfId="79">
      <formula>0</formula>
    </cfRule>
    <cfRule type="expression" priority="69" aboveAverage="0" equalAverage="0" bottom="0" percent="0" rank="0" text="" dxfId="80">
      <formula>D99&gt;0</formula>
    </cfRule>
  </conditionalFormatting>
  <conditionalFormatting sqref="D101:E101">
    <cfRule type="cellIs" priority="70" operator="greaterThan" aboveAverage="0" equalAverage="0" bottom="0" percent="0" rank="0" text="" dxfId="81">
      <formula>0</formula>
    </cfRule>
    <cfRule type="expression" priority="71" aboveAverage="0" equalAverage="0" bottom="0" percent="0" rank="0" text="" dxfId="82">
      <formula>D100&gt;0</formula>
    </cfRule>
  </conditionalFormatting>
  <conditionalFormatting sqref="D102:E102">
    <cfRule type="cellIs" priority="72" operator="greaterThan" aboveAverage="0" equalAverage="0" bottom="0" percent="0" rank="0" text="" dxfId="83">
      <formula>0</formula>
    </cfRule>
    <cfRule type="expression" priority="73" aboveAverage="0" equalAverage="0" bottom="0" percent="0" rank="0" text="" dxfId="84">
      <formula>D101&gt;0</formula>
    </cfRule>
  </conditionalFormatting>
  <conditionalFormatting sqref="D103:E103">
    <cfRule type="cellIs" priority="74" operator="greaterThan" aboveAverage="0" equalAverage="0" bottom="0" percent="0" rank="0" text="" dxfId="85">
      <formula>0</formula>
    </cfRule>
    <cfRule type="expression" priority="75" aboveAverage="0" equalAverage="0" bottom="0" percent="0" rank="0" text="" dxfId="86">
      <formula>D102&gt;0</formula>
    </cfRule>
  </conditionalFormatting>
  <conditionalFormatting sqref="D104:E104">
    <cfRule type="cellIs" priority="76" operator="greaterThan" aboveAverage="0" equalAverage="0" bottom="0" percent="0" rank="0" text="" dxfId="87">
      <formula>0</formula>
    </cfRule>
    <cfRule type="expression" priority="77" aboveAverage="0" equalAverage="0" bottom="0" percent="0" rank="0" text="" dxfId="88">
      <formula>D103&gt;0</formula>
    </cfRule>
  </conditionalFormatting>
  <conditionalFormatting sqref="D105:E105">
    <cfRule type="cellIs" priority="78" operator="greaterThan" aboveAverage="0" equalAverage="0" bottom="0" percent="0" rank="0" text="" dxfId="89">
      <formula>0</formula>
    </cfRule>
    <cfRule type="expression" priority="79" aboveAverage="0" equalAverage="0" bottom="0" percent="0" rank="0" text="" dxfId="90">
      <formula>D104&gt;0</formula>
    </cfRule>
  </conditionalFormatting>
  <conditionalFormatting sqref="D106:E106">
    <cfRule type="cellIs" priority="80" operator="greaterThan" aboveAverage="0" equalAverage="0" bottom="0" percent="0" rank="0" text="" dxfId="91">
      <formula>0</formula>
    </cfRule>
    <cfRule type="expression" priority="81" aboveAverage="0" equalAverage="0" bottom="0" percent="0" rank="0" text="" dxfId="92">
      <formula>D105&gt;0</formula>
    </cfRule>
  </conditionalFormatting>
  <conditionalFormatting sqref="D107:E107">
    <cfRule type="cellIs" priority="82" operator="greaterThan" aboveAverage="0" equalAverage="0" bottom="0" percent="0" rank="0" text="" dxfId="93">
      <formula>0</formula>
    </cfRule>
    <cfRule type="expression" priority="83" aboveAverage="0" equalAverage="0" bottom="0" percent="0" rank="0" text="" dxfId="94">
      <formula>D106&gt;0</formula>
    </cfRule>
  </conditionalFormatting>
  <conditionalFormatting sqref="D108:E108">
    <cfRule type="cellIs" priority="84" operator="greaterThan" aboveAverage="0" equalAverage="0" bottom="0" percent="0" rank="0" text="" dxfId="95">
      <formula>0</formula>
    </cfRule>
    <cfRule type="expression" priority="85" aboveAverage="0" equalAverage="0" bottom="0" percent="0" rank="0" text="" dxfId="96">
      <formula>D107&gt;0</formula>
    </cfRule>
  </conditionalFormatting>
  <conditionalFormatting sqref="C93">
    <cfRule type="cellIs" priority="86" operator="greaterThan" aboveAverage="0" equalAverage="0" bottom="0" percent="0" rank="0" text="" dxfId="97">
      <formula>0</formula>
    </cfRule>
    <cfRule type="expression" priority="87" aboveAverage="0" equalAverage="0" bottom="0" percent="0" rank="0" text="" dxfId="98">
      <formula>C92&gt;0</formula>
    </cfRule>
  </conditionalFormatting>
  <conditionalFormatting sqref="C94">
    <cfRule type="cellIs" priority="88" operator="greaterThan" aboveAverage="0" equalAverage="0" bottom="0" percent="0" rank="0" text="" dxfId="99">
      <formula>0</formula>
    </cfRule>
    <cfRule type="expression" priority="89" aboveAverage="0" equalAverage="0" bottom="0" percent="0" rank="0" text="" dxfId="100">
      <formula>C93&gt;0</formula>
    </cfRule>
  </conditionalFormatting>
  <conditionalFormatting sqref="C95">
    <cfRule type="cellIs" priority="90" operator="greaterThan" aboveAverage="0" equalAverage="0" bottom="0" percent="0" rank="0" text="" dxfId="101">
      <formula>0</formula>
    </cfRule>
    <cfRule type="expression" priority="91" aboveAverage="0" equalAverage="0" bottom="0" percent="0" rank="0" text="" dxfId="102">
      <formula>C94&gt;0</formula>
    </cfRule>
  </conditionalFormatting>
  <conditionalFormatting sqref="C96">
    <cfRule type="cellIs" priority="92" operator="greaterThan" aboveAverage="0" equalAverage="0" bottom="0" percent="0" rank="0" text="" dxfId="103">
      <formula>0</formula>
    </cfRule>
    <cfRule type="expression" priority="93" aboveAverage="0" equalAverage="0" bottom="0" percent="0" rank="0" text="" dxfId="104">
      <formula>C95&gt;0</formula>
    </cfRule>
  </conditionalFormatting>
  <conditionalFormatting sqref="C97">
    <cfRule type="cellIs" priority="94" operator="greaterThan" aboveAverage="0" equalAverage="0" bottom="0" percent="0" rank="0" text="" dxfId="105">
      <formula>0</formula>
    </cfRule>
    <cfRule type="expression" priority="95" aboveAverage="0" equalAverage="0" bottom="0" percent="0" rank="0" text="" dxfId="106">
      <formula>C96&gt;0</formula>
    </cfRule>
  </conditionalFormatting>
  <conditionalFormatting sqref="C98">
    <cfRule type="cellIs" priority="96" operator="greaterThan" aboveAverage="0" equalAverage="0" bottom="0" percent="0" rank="0" text="" dxfId="107">
      <formula>0</formula>
    </cfRule>
    <cfRule type="expression" priority="97" aboveAverage="0" equalAverage="0" bottom="0" percent="0" rank="0" text="" dxfId="108">
      <formula>C97&gt;0</formula>
    </cfRule>
  </conditionalFormatting>
  <conditionalFormatting sqref="C99">
    <cfRule type="cellIs" priority="98" operator="greaterThan" aboveAverage="0" equalAverage="0" bottom="0" percent="0" rank="0" text="" dxfId="109">
      <formula>0</formula>
    </cfRule>
    <cfRule type="expression" priority="99" aboveAverage="0" equalAverage="0" bottom="0" percent="0" rank="0" text="" dxfId="110">
      <formula>C98&gt;0</formula>
    </cfRule>
  </conditionalFormatting>
  <conditionalFormatting sqref="C100">
    <cfRule type="cellIs" priority="100" operator="greaterThan" aboveAverage="0" equalAverage="0" bottom="0" percent="0" rank="0" text="" dxfId="111">
      <formula>0</formula>
    </cfRule>
    <cfRule type="expression" priority="101" aboveAverage="0" equalAverage="0" bottom="0" percent="0" rank="0" text="" dxfId="112">
      <formula>C99&gt;0</formula>
    </cfRule>
  </conditionalFormatting>
  <conditionalFormatting sqref="C101">
    <cfRule type="cellIs" priority="102" operator="greaterThan" aboveAverage="0" equalAverage="0" bottom="0" percent="0" rank="0" text="" dxfId="113">
      <formula>0</formula>
    </cfRule>
    <cfRule type="expression" priority="103" aboveAverage="0" equalAverage="0" bottom="0" percent="0" rank="0" text="" dxfId="114">
      <formula>C100&gt;0</formula>
    </cfRule>
  </conditionalFormatting>
  <conditionalFormatting sqref="C102">
    <cfRule type="cellIs" priority="104" operator="greaterThan" aboveAverage="0" equalAverage="0" bottom="0" percent="0" rank="0" text="" dxfId="115">
      <formula>0</formula>
    </cfRule>
    <cfRule type="expression" priority="105" aboveAverage="0" equalAverage="0" bottom="0" percent="0" rank="0" text="" dxfId="116">
      <formula>C101&gt;0</formula>
    </cfRule>
  </conditionalFormatting>
  <conditionalFormatting sqref="C103">
    <cfRule type="cellIs" priority="106" operator="greaterThan" aboveAverage="0" equalAverage="0" bottom="0" percent="0" rank="0" text="" dxfId="117">
      <formula>0</formula>
    </cfRule>
    <cfRule type="expression" priority="107" aboveAverage="0" equalAverage="0" bottom="0" percent="0" rank="0" text="" dxfId="118">
      <formula>C102&gt;0</formula>
    </cfRule>
  </conditionalFormatting>
  <conditionalFormatting sqref="C104">
    <cfRule type="cellIs" priority="108" operator="greaterThan" aboveAverage="0" equalAverage="0" bottom="0" percent="0" rank="0" text="" dxfId="119">
      <formula>0</formula>
    </cfRule>
    <cfRule type="expression" priority="109" aboveAverage="0" equalAverage="0" bottom="0" percent="0" rank="0" text="" dxfId="120">
      <formula>C103&gt;0</formula>
    </cfRule>
  </conditionalFormatting>
  <conditionalFormatting sqref="C105">
    <cfRule type="cellIs" priority="110" operator="greaterThan" aboveAverage="0" equalAverage="0" bottom="0" percent="0" rank="0" text="" dxfId="121">
      <formula>0</formula>
    </cfRule>
    <cfRule type="expression" priority="111" aboveAverage="0" equalAverage="0" bottom="0" percent="0" rank="0" text="" dxfId="122">
      <formula>C104&gt;0</formula>
    </cfRule>
  </conditionalFormatting>
  <conditionalFormatting sqref="C106">
    <cfRule type="cellIs" priority="112" operator="greaterThan" aboveAverage="0" equalAverage="0" bottom="0" percent="0" rank="0" text="" dxfId="123">
      <formula>0</formula>
    </cfRule>
    <cfRule type="expression" priority="113" aboveAverage="0" equalAverage="0" bottom="0" percent="0" rank="0" text="" dxfId="124">
      <formula>C105&gt;0</formula>
    </cfRule>
  </conditionalFormatting>
  <conditionalFormatting sqref="C107">
    <cfRule type="cellIs" priority="114" operator="greaterThan" aboveAverage="0" equalAverage="0" bottom="0" percent="0" rank="0" text="" dxfId="125">
      <formula>0</formula>
    </cfRule>
    <cfRule type="expression" priority="115" aboveAverage="0" equalAverage="0" bottom="0" percent="0" rank="0" text="" dxfId="126">
      <formula>C106&gt;0</formula>
    </cfRule>
  </conditionalFormatting>
  <conditionalFormatting sqref="C108">
    <cfRule type="cellIs" priority="116" operator="greaterThan" aboveAverage="0" equalAverage="0" bottom="0" percent="0" rank="0" text="" dxfId="127">
      <formula>0</formula>
    </cfRule>
    <cfRule type="expression" priority="117" aboveAverage="0" equalAverage="0" bottom="0" percent="0" rank="0" text="" dxfId="128">
      <formula>C107&gt;0</formula>
    </cfRule>
  </conditionalFormatting>
  <conditionalFormatting sqref="C109">
    <cfRule type="cellIs" priority="118" operator="greaterThan" aboveAverage="0" equalAverage="0" bottom="0" percent="0" rank="0" text="" dxfId="129">
      <formula>0</formula>
    </cfRule>
    <cfRule type="expression" priority="119" aboveAverage="0" equalAverage="0" bottom="0" percent="0" rank="0" text="" dxfId="130">
      <formula>C108&gt;0</formula>
    </cfRule>
  </conditionalFormatting>
  <conditionalFormatting sqref="C116">
    <cfRule type="cellIs" priority="120" operator="greaterThan" aboveAverage="0" equalAverage="0" bottom="0" percent="0" rank="0" text="" dxfId="131">
      <formula>0</formula>
    </cfRule>
    <cfRule type="expression" priority="121" aboveAverage="0" equalAverage="0" bottom="0" percent="0" rank="0" text="" dxfId="132">
      <formula>C110&gt;0</formula>
    </cfRule>
  </conditionalFormatting>
  <conditionalFormatting sqref="F93">
    <cfRule type="cellIs" priority="122" operator="greaterThan" aboveAverage="0" equalAverage="0" bottom="0" percent="0" rank="0" text="" dxfId="133">
      <formula>0</formula>
    </cfRule>
    <cfRule type="expression" priority="123" aboveAverage="0" equalAverage="0" bottom="0" percent="0" rank="0" text="" dxfId="134">
      <formula>F92&gt;0</formula>
    </cfRule>
  </conditionalFormatting>
  <conditionalFormatting sqref="F94">
    <cfRule type="cellIs" priority="124" operator="greaterThan" aboveAverage="0" equalAverage="0" bottom="0" percent="0" rank="0" text="" dxfId="135">
      <formula>0</formula>
    </cfRule>
    <cfRule type="expression" priority="125" aboveAverage="0" equalAverage="0" bottom="0" percent="0" rank="0" text="" dxfId="136">
      <formula>F93&gt;0</formula>
    </cfRule>
  </conditionalFormatting>
  <conditionalFormatting sqref="F94">
    <cfRule type="cellIs" priority="126" operator="greaterThan" aboveAverage="0" equalAverage="0" bottom="0" percent="0" rank="0" text="" dxfId="137">
      <formula>0</formula>
    </cfRule>
    <cfRule type="expression" priority="127" aboveAverage="0" equalAverage="0" bottom="0" percent="0" rank="0" text="" dxfId="138">
      <formula>F93&gt;0</formula>
    </cfRule>
  </conditionalFormatting>
  <conditionalFormatting sqref="F95">
    <cfRule type="cellIs" priority="128" operator="greaterThan" aboveAverage="0" equalAverage="0" bottom="0" percent="0" rank="0" text="" dxfId="139">
      <formula>0</formula>
    </cfRule>
    <cfRule type="expression" priority="129" aboveAverage="0" equalAverage="0" bottom="0" percent="0" rank="0" text="" dxfId="140">
      <formula>F94&gt;0</formula>
    </cfRule>
  </conditionalFormatting>
  <conditionalFormatting sqref="F95">
    <cfRule type="cellIs" priority="130" operator="greaterThan" aboveAverage="0" equalAverage="0" bottom="0" percent="0" rank="0" text="" dxfId="141">
      <formula>0</formula>
    </cfRule>
    <cfRule type="expression" priority="131" aboveAverage="0" equalAverage="0" bottom="0" percent="0" rank="0" text="" dxfId="142">
      <formula>F94&gt;0</formula>
    </cfRule>
  </conditionalFormatting>
  <conditionalFormatting sqref="F96">
    <cfRule type="cellIs" priority="132" operator="greaterThan" aboveAverage="0" equalAverage="0" bottom="0" percent="0" rank="0" text="" dxfId="143">
      <formula>0</formula>
    </cfRule>
    <cfRule type="expression" priority="133" aboveAverage="0" equalAverage="0" bottom="0" percent="0" rank="0" text="" dxfId="144">
      <formula>F95&gt;0</formula>
    </cfRule>
  </conditionalFormatting>
  <conditionalFormatting sqref="F96">
    <cfRule type="cellIs" priority="134" operator="greaterThan" aboveAverage="0" equalAverage="0" bottom="0" percent="0" rank="0" text="" dxfId="145">
      <formula>0</formula>
    </cfRule>
    <cfRule type="expression" priority="135" aboveAverage="0" equalAverage="0" bottom="0" percent="0" rank="0" text="" dxfId="146">
      <formula>F95&gt;0</formula>
    </cfRule>
  </conditionalFormatting>
  <conditionalFormatting sqref="F97">
    <cfRule type="cellIs" priority="136" operator="greaterThan" aboveAverage="0" equalAverage="0" bottom="0" percent="0" rank="0" text="" dxfId="147">
      <formula>0</formula>
    </cfRule>
    <cfRule type="expression" priority="137" aboveAverage="0" equalAverage="0" bottom="0" percent="0" rank="0" text="" dxfId="148">
      <formula>F96&gt;0</formula>
    </cfRule>
  </conditionalFormatting>
  <conditionalFormatting sqref="F97">
    <cfRule type="cellIs" priority="138" operator="greaterThan" aboveAverage="0" equalAverage="0" bottom="0" percent="0" rank="0" text="" dxfId="149">
      <formula>0</formula>
    </cfRule>
    <cfRule type="expression" priority="139" aboveAverage="0" equalAverage="0" bottom="0" percent="0" rank="0" text="" dxfId="150">
      <formula>F96&gt;0</formula>
    </cfRule>
  </conditionalFormatting>
  <conditionalFormatting sqref="F98">
    <cfRule type="cellIs" priority="140" operator="greaterThan" aboveAverage="0" equalAverage="0" bottom="0" percent="0" rank="0" text="" dxfId="151">
      <formula>0</formula>
    </cfRule>
    <cfRule type="expression" priority="141" aboveAverage="0" equalAverage="0" bottom="0" percent="0" rank="0" text="" dxfId="152">
      <formula>F97&gt;0</formula>
    </cfRule>
  </conditionalFormatting>
  <conditionalFormatting sqref="F98">
    <cfRule type="cellIs" priority="142" operator="greaterThan" aboveAverage="0" equalAverage="0" bottom="0" percent="0" rank="0" text="" dxfId="153">
      <formula>0</formula>
    </cfRule>
    <cfRule type="expression" priority="143" aboveAverage="0" equalAverage="0" bottom="0" percent="0" rank="0" text="" dxfId="154">
      <formula>F97&gt;0</formula>
    </cfRule>
  </conditionalFormatting>
  <conditionalFormatting sqref="F99">
    <cfRule type="cellIs" priority="144" operator="greaterThan" aboveAverage="0" equalAverage="0" bottom="0" percent="0" rank="0" text="" dxfId="155">
      <formula>0</formula>
    </cfRule>
    <cfRule type="expression" priority="145" aboveAverage="0" equalAverage="0" bottom="0" percent="0" rank="0" text="" dxfId="156">
      <formula>F98&gt;0</formula>
    </cfRule>
  </conditionalFormatting>
  <conditionalFormatting sqref="F99">
    <cfRule type="cellIs" priority="146" operator="greaterThan" aboveAverage="0" equalAverage="0" bottom="0" percent="0" rank="0" text="" dxfId="157">
      <formula>0</formula>
    </cfRule>
    <cfRule type="expression" priority="147" aboveAverage="0" equalAverage="0" bottom="0" percent="0" rank="0" text="" dxfId="158">
      <formula>F98&gt;0</formula>
    </cfRule>
  </conditionalFormatting>
  <conditionalFormatting sqref="F100">
    <cfRule type="cellIs" priority="148" operator="greaterThan" aboveAverage="0" equalAverage="0" bottom="0" percent="0" rank="0" text="" dxfId="159">
      <formula>0</formula>
    </cfRule>
    <cfRule type="expression" priority="149" aboveAverage="0" equalAverage="0" bottom="0" percent="0" rank="0" text="" dxfId="160">
      <formula>F99&gt;0</formula>
    </cfRule>
  </conditionalFormatting>
  <conditionalFormatting sqref="F100">
    <cfRule type="cellIs" priority="150" operator="greaterThan" aboveAverage="0" equalAverage="0" bottom="0" percent="0" rank="0" text="" dxfId="161">
      <formula>0</formula>
    </cfRule>
    <cfRule type="expression" priority="151" aboveAverage="0" equalAverage="0" bottom="0" percent="0" rank="0" text="" dxfId="162">
      <formula>F99&gt;0</formula>
    </cfRule>
  </conditionalFormatting>
  <conditionalFormatting sqref="F101">
    <cfRule type="cellIs" priority="152" operator="greaterThan" aboveAverage="0" equalAverage="0" bottom="0" percent="0" rank="0" text="" dxfId="163">
      <formula>0</formula>
    </cfRule>
    <cfRule type="expression" priority="153" aboveAverage="0" equalAverage="0" bottom="0" percent="0" rank="0" text="" dxfId="164">
      <formula>F100&gt;0</formula>
    </cfRule>
  </conditionalFormatting>
  <conditionalFormatting sqref="F101">
    <cfRule type="cellIs" priority="154" operator="greaterThan" aboveAverage="0" equalAverage="0" bottom="0" percent="0" rank="0" text="" dxfId="165">
      <formula>0</formula>
    </cfRule>
    <cfRule type="expression" priority="155" aboveAverage="0" equalAverage="0" bottom="0" percent="0" rank="0" text="" dxfId="166">
      <formula>F100&gt;0</formula>
    </cfRule>
  </conditionalFormatting>
  <conditionalFormatting sqref="F102">
    <cfRule type="cellIs" priority="156" operator="greaterThan" aboveAverage="0" equalAverage="0" bottom="0" percent="0" rank="0" text="" dxfId="167">
      <formula>0</formula>
    </cfRule>
    <cfRule type="expression" priority="157" aboveAverage="0" equalAverage="0" bottom="0" percent="0" rank="0" text="" dxfId="168">
      <formula>F101&gt;0</formula>
    </cfRule>
  </conditionalFormatting>
  <conditionalFormatting sqref="F102">
    <cfRule type="cellIs" priority="158" operator="greaterThan" aboveAverage="0" equalAverage="0" bottom="0" percent="0" rank="0" text="" dxfId="169">
      <formula>0</formula>
    </cfRule>
    <cfRule type="expression" priority="159" aboveAverage="0" equalAverage="0" bottom="0" percent="0" rank="0" text="" dxfId="170">
      <formula>F101&gt;0</formula>
    </cfRule>
  </conditionalFormatting>
  <conditionalFormatting sqref="F103">
    <cfRule type="cellIs" priority="160" operator="greaterThan" aboveAverage="0" equalAverage="0" bottom="0" percent="0" rank="0" text="" dxfId="171">
      <formula>0</formula>
    </cfRule>
    <cfRule type="expression" priority="161" aboveAverage="0" equalAverage="0" bottom="0" percent="0" rank="0" text="" dxfId="172">
      <formula>F102&gt;0</formula>
    </cfRule>
  </conditionalFormatting>
  <conditionalFormatting sqref="F103">
    <cfRule type="cellIs" priority="162" operator="greaterThan" aboveAverage="0" equalAverage="0" bottom="0" percent="0" rank="0" text="" dxfId="173">
      <formula>0</formula>
    </cfRule>
    <cfRule type="expression" priority="163" aboveAverage="0" equalAverage="0" bottom="0" percent="0" rank="0" text="" dxfId="174">
      <formula>F102&gt;0</formula>
    </cfRule>
  </conditionalFormatting>
  <conditionalFormatting sqref="F104">
    <cfRule type="cellIs" priority="164" operator="greaterThan" aboveAverage="0" equalAverage="0" bottom="0" percent="0" rank="0" text="" dxfId="175">
      <formula>0</formula>
    </cfRule>
    <cfRule type="expression" priority="165" aboveAverage="0" equalAverage="0" bottom="0" percent="0" rank="0" text="" dxfId="176">
      <formula>F103&gt;0</formula>
    </cfRule>
  </conditionalFormatting>
  <conditionalFormatting sqref="F104">
    <cfRule type="cellIs" priority="166" operator="greaterThan" aboveAverage="0" equalAverage="0" bottom="0" percent="0" rank="0" text="" dxfId="177">
      <formula>0</formula>
    </cfRule>
    <cfRule type="expression" priority="167" aboveAverage="0" equalAverage="0" bottom="0" percent="0" rank="0" text="" dxfId="178">
      <formula>F103&gt;0</formula>
    </cfRule>
  </conditionalFormatting>
  <conditionalFormatting sqref="F105">
    <cfRule type="cellIs" priority="168" operator="greaterThan" aboveAverage="0" equalAverage="0" bottom="0" percent="0" rank="0" text="" dxfId="179">
      <formula>0</formula>
    </cfRule>
    <cfRule type="expression" priority="169" aboveAverage="0" equalAverage="0" bottom="0" percent="0" rank="0" text="" dxfId="180">
      <formula>F104&gt;0</formula>
    </cfRule>
  </conditionalFormatting>
  <conditionalFormatting sqref="F105">
    <cfRule type="cellIs" priority="170" operator="greaterThan" aboveAverage="0" equalAverage="0" bottom="0" percent="0" rank="0" text="" dxfId="181">
      <formula>0</formula>
    </cfRule>
    <cfRule type="expression" priority="171" aboveAverage="0" equalAverage="0" bottom="0" percent="0" rank="0" text="" dxfId="182">
      <formula>F104&gt;0</formula>
    </cfRule>
  </conditionalFormatting>
  <conditionalFormatting sqref="F106">
    <cfRule type="cellIs" priority="172" operator="greaterThan" aboveAverage="0" equalAverage="0" bottom="0" percent="0" rank="0" text="" dxfId="183">
      <formula>0</formula>
    </cfRule>
    <cfRule type="expression" priority="173" aboveAverage="0" equalAverage="0" bottom="0" percent="0" rank="0" text="" dxfId="184">
      <formula>F105&gt;0</formula>
    </cfRule>
  </conditionalFormatting>
  <conditionalFormatting sqref="F106">
    <cfRule type="cellIs" priority="174" operator="greaterThan" aboveAverage="0" equalAverage="0" bottom="0" percent="0" rank="0" text="" dxfId="185">
      <formula>0</formula>
    </cfRule>
    <cfRule type="expression" priority="175" aboveAverage="0" equalAverage="0" bottom="0" percent="0" rank="0" text="" dxfId="186">
      <formula>F105&gt;0</formula>
    </cfRule>
  </conditionalFormatting>
  <conditionalFormatting sqref="F107">
    <cfRule type="cellIs" priority="176" operator="greaterThan" aboveAverage="0" equalAverage="0" bottom="0" percent="0" rank="0" text="" dxfId="187">
      <formula>0</formula>
    </cfRule>
    <cfRule type="expression" priority="177" aboveAverage="0" equalAverage="0" bottom="0" percent="0" rank="0" text="" dxfId="188">
      <formula>F106&gt;0</formula>
    </cfRule>
  </conditionalFormatting>
  <conditionalFormatting sqref="F107">
    <cfRule type="cellIs" priority="178" operator="greaterThan" aboveAverage="0" equalAverage="0" bottom="0" percent="0" rank="0" text="" dxfId="189">
      <formula>0</formula>
    </cfRule>
    <cfRule type="expression" priority="179" aboveAverage="0" equalAverage="0" bottom="0" percent="0" rank="0" text="" dxfId="190">
      <formula>F106&gt;0</formula>
    </cfRule>
  </conditionalFormatting>
  <conditionalFormatting sqref="F108">
    <cfRule type="cellIs" priority="180" operator="greaterThan" aboveAverage="0" equalAverage="0" bottom="0" percent="0" rank="0" text="" dxfId="191">
      <formula>0</formula>
    </cfRule>
    <cfRule type="expression" priority="181" aboveAverage="0" equalAverage="0" bottom="0" percent="0" rank="0" text="" dxfId="192">
      <formula>F107&gt;0</formula>
    </cfRule>
  </conditionalFormatting>
  <conditionalFormatting sqref="F108">
    <cfRule type="cellIs" priority="182" operator="greaterThan" aboveAverage="0" equalAverage="0" bottom="0" percent="0" rank="0" text="" dxfId="193">
      <formula>0</formula>
    </cfRule>
    <cfRule type="expression" priority="183" aboveAverage="0" equalAverage="0" bottom="0" percent="0" rank="0" text="" dxfId="194">
      <formula>F107&gt;0</formula>
    </cfRule>
  </conditionalFormatting>
  <conditionalFormatting sqref="F109">
    <cfRule type="cellIs" priority="184" operator="greaterThan" aboveAverage="0" equalAverage="0" bottom="0" percent="0" rank="0" text="" dxfId="195">
      <formula>0</formula>
    </cfRule>
    <cfRule type="expression" priority="185" aboveAverage="0" equalAverage="0" bottom="0" percent="0" rank="0" text="" dxfId="196">
      <formula>F108&gt;0</formula>
    </cfRule>
  </conditionalFormatting>
  <conditionalFormatting sqref="F109">
    <cfRule type="cellIs" priority="186" operator="greaterThan" aboveAverage="0" equalAverage="0" bottom="0" percent="0" rank="0" text="" dxfId="197">
      <formula>0</formula>
    </cfRule>
    <cfRule type="expression" priority="187" aboveAverage="0" equalAverage="0" bottom="0" percent="0" rank="0" text="" dxfId="198">
      <formula>F108&gt;0</formula>
    </cfRule>
  </conditionalFormatting>
  <conditionalFormatting sqref="F116">
    <cfRule type="cellIs" priority="188" operator="greaterThan" aboveAverage="0" equalAverage="0" bottom="0" percent="0" rank="0" text="" dxfId="199">
      <formula>0</formula>
    </cfRule>
    <cfRule type="expression" priority="189" aboveAverage="0" equalAverage="0" bottom="0" percent="0" rank="0" text="" dxfId="200">
      <formula>F110&gt;0</formula>
    </cfRule>
  </conditionalFormatting>
  <conditionalFormatting sqref="F116">
    <cfRule type="cellIs" priority="190" operator="greaterThan" aboveAverage="0" equalAverage="0" bottom="0" percent="0" rank="0" text="" dxfId="201">
      <formula>0</formula>
    </cfRule>
    <cfRule type="expression" priority="191" aboveAverage="0" equalAverage="0" bottom="0" percent="0" rank="0" text="" dxfId="202">
      <formula>F110&gt;0</formula>
    </cfRule>
  </conditionalFormatting>
  <conditionalFormatting sqref="D10:E10">
    <cfRule type="cellIs" priority="192" operator="greaterThan" aboveAverage="0" equalAverage="0" bottom="0" percent="0" rank="0" text="" dxfId="203">
      <formula>0</formula>
    </cfRule>
  </conditionalFormatting>
  <conditionalFormatting sqref="D12">
    <cfRule type="cellIs" priority="193" operator="greaterThan" aboveAverage="0" equalAverage="0" bottom="0" percent="0" rank="0" text="" dxfId="204">
      <formula>0</formula>
    </cfRule>
  </conditionalFormatting>
  <conditionalFormatting sqref="D11">
    <cfRule type="cellIs" priority="194" operator="greaterThan" aboveAverage="0" equalAverage="0" bottom="0" percent="0" rank="0" text="" dxfId="205">
      <formula>0</formula>
    </cfRule>
  </conditionalFormatting>
  <conditionalFormatting sqref="F15">
    <cfRule type="cellIs" priority="195" operator="equal" aboveAverage="0" equalAverage="0" bottom="0" percent="0" rank="0" text="" dxfId="206">
      <formula>0</formula>
    </cfRule>
    <cfRule type="expression" priority="196" aboveAverage="0" equalAverage="0" bottom="0" percent="0" rank="0" text="" dxfId="207">
      <formula>$H$16&gt;0</formula>
    </cfRule>
  </conditionalFormatting>
  <conditionalFormatting sqref="D16">
    <cfRule type="cellIs" priority="197" operator="greaterThan" aboveAverage="0" equalAverage="0" bottom="0" percent="0" rank="0" text="" dxfId="208">
      <formula>0</formula>
    </cfRule>
  </conditionalFormatting>
  <conditionalFormatting sqref="D17">
    <cfRule type="cellIs" priority="198" operator="greaterThan" aboveAverage="0" equalAverage="0" bottom="0" percent="0" rank="0" text="" dxfId="209">
      <formula>0</formula>
    </cfRule>
  </conditionalFormatting>
  <conditionalFormatting sqref="D18:G18">
    <cfRule type="cellIs" priority="199" operator="greaterThan" aboveAverage="0" equalAverage="0" bottom="0" percent="0" rank="0" text="" dxfId="210">
      <formula>0</formula>
    </cfRule>
  </conditionalFormatting>
  <conditionalFormatting sqref="B28:C28">
    <cfRule type="cellIs" priority="200" operator="greaterThan" aboveAverage="0" equalAverage="0" bottom="0" percent="0" rank="0" text="" dxfId="211">
      <formula>0</formula>
    </cfRule>
  </conditionalFormatting>
  <conditionalFormatting sqref="D28">
    <cfRule type="cellIs" priority="201" operator="greaterThan" aboveAverage="0" equalAverage="0" bottom="0" percent="0" rank="0" text="" dxfId="212">
      <formula>0</formula>
    </cfRule>
  </conditionalFormatting>
  <conditionalFormatting sqref="E28">
    <cfRule type="cellIs" priority="202" operator="greaterThan" aboveAverage="0" equalAverage="0" bottom="0" percent="0" rank="0" text="" dxfId="213">
      <formula>0</formula>
    </cfRule>
  </conditionalFormatting>
  <conditionalFormatting sqref="I28:J28">
    <cfRule type="cellIs" priority="203" operator="greaterThan" aboveAverage="0" equalAverage="0" bottom="0" percent="0" rank="0" text="" dxfId="214">
      <formula>0</formula>
    </cfRule>
  </conditionalFormatting>
  <conditionalFormatting sqref="B29:C31 B38:C39 B43:C44">
    <cfRule type="cellIs" priority="204" operator="greaterThan" aboveAverage="0" equalAverage="0" bottom="0" percent="0" rank="0" text="" dxfId="215">
      <formula>0</formula>
    </cfRule>
    <cfRule type="expression" priority="205" aboveAverage="0" equalAverage="0" bottom="0" percent="0" rank="0" text="" dxfId="216">
      <formula>B28&gt;0</formula>
    </cfRule>
  </conditionalFormatting>
  <conditionalFormatting sqref="D58">
    <cfRule type="cellIs" priority="206" operator="greaterThan" aboveAverage="0" equalAverage="0" bottom="0" percent="0" rank="0" text="" dxfId="217">
      <formula>0</formula>
    </cfRule>
  </conditionalFormatting>
  <conditionalFormatting sqref="B32:C32">
    <cfRule type="cellIs" priority="207" operator="greaterThan" aboveAverage="0" equalAverage="0" bottom="0" percent="0" rank="0" text="" dxfId="218">
      <formula>0</formula>
    </cfRule>
    <cfRule type="expression" priority="208" aboveAverage="0" equalAverage="0" bottom="0" percent="0" rank="0" text="" dxfId="219">
      <formula>B31&gt;0</formula>
    </cfRule>
  </conditionalFormatting>
  <conditionalFormatting sqref="B33:C33">
    <cfRule type="cellIs" priority="209" operator="greaterThan" aboveAverage="0" equalAverage="0" bottom="0" percent="0" rank="0" text="" dxfId="220">
      <formula>0</formula>
    </cfRule>
    <cfRule type="expression" priority="210" aboveAverage="0" equalAverage="0" bottom="0" percent="0" rank="0" text="" dxfId="221">
      <formula>B32&gt;0</formula>
    </cfRule>
  </conditionalFormatting>
  <conditionalFormatting sqref="B34:C34">
    <cfRule type="cellIs" priority="211" operator="greaterThan" aboveAverage="0" equalAverage="0" bottom="0" percent="0" rank="0" text="" dxfId="222">
      <formula>0</formula>
    </cfRule>
    <cfRule type="expression" priority="212" aboveAverage="0" equalAverage="0" bottom="0" percent="0" rank="0" text="" dxfId="223">
      <formula>B33&gt;0</formula>
    </cfRule>
  </conditionalFormatting>
  <conditionalFormatting sqref="B35:C35">
    <cfRule type="cellIs" priority="213" operator="greaterThan" aboveAverage="0" equalAverage="0" bottom="0" percent="0" rank="0" text="" dxfId="224">
      <formula>0</formula>
    </cfRule>
    <cfRule type="expression" priority="214" aboveAverage="0" equalAverage="0" bottom="0" percent="0" rank="0" text="" dxfId="225">
      <formula>B34&gt;0</formula>
    </cfRule>
  </conditionalFormatting>
  <conditionalFormatting sqref="B36:C36">
    <cfRule type="cellIs" priority="215" operator="greaterThan" aboveAverage="0" equalAverage="0" bottom="0" percent="0" rank="0" text="" dxfId="226">
      <formula>0</formula>
    </cfRule>
    <cfRule type="expression" priority="216" aboveAverage="0" equalAverage="0" bottom="0" percent="0" rank="0" text="" dxfId="227">
      <formula>B35&gt;0</formula>
    </cfRule>
  </conditionalFormatting>
  <conditionalFormatting sqref="B37:C37">
    <cfRule type="cellIs" priority="217" operator="greaterThan" aboveAverage="0" equalAverage="0" bottom="0" percent="0" rank="0" text="" dxfId="228">
      <formula>0</formula>
    </cfRule>
    <cfRule type="expression" priority="218" aboveAverage="0" equalAverage="0" bottom="0" percent="0" rank="0" text="" dxfId="229">
      <formula>B36&gt;0</formula>
    </cfRule>
  </conditionalFormatting>
  <conditionalFormatting sqref="B64:C64">
    <cfRule type="cellIs" priority="219" operator="greaterThan" aboveAverage="0" equalAverage="0" bottom="0" percent="0" rank="0" text="" dxfId="230">
      <formula>0</formula>
    </cfRule>
  </conditionalFormatting>
  <conditionalFormatting sqref="I64:J64">
    <cfRule type="cellIs" priority="220" operator="greaterThan" aboveAverage="0" equalAverage="0" bottom="0" percent="0" rank="0" text="" dxfId="231">
      <formula>0</formula>
    </cfRule>
  </conditionalFormatting>
  <conditionalFormatting sqref="B65:C65">
    <cfRule type="cellIs" priority="221" operator="greaterThan" aboveAverage="0" equalAverage="0" bottom="0" percent="0" rank="0" text="" dxfId="232">
      <formula>0</formula>
    </cfRule>
    <cfRule type="expression" priority="222" aboveAverage="0" equalAverage="0" bottom="0" percent="0" rank="0" text="" dxfId="233">
      <formula>B64&gt;0</formula>
    </cfRule>
  </conditionalFormatting>
  <conditionalFormatting sqref="B66:C66">
    <cfRule type="cellIs" priority="223" operator="greaterThan" aboveAverage="0" equalAverage="0" bottom="0" percent="0" rank="0" text="" dxfId="234">
      <formula>0</formula>
    </cfRule>
    <cfRule type="expression" priority="224" aboveAverage="0" equalAverage="0" bottom="0" percent="0" rank="0" text="" dxfId="235">
      <formula>B65&gt;0</formula>
    </cfRule>
  </conditionalFormatting>
  <conditionalFormatting sqref="B67:C67">
    <cfRule type="cellIs" priority="225" operator="greaterThan" aboveAverage="0" equalAverage="0" bottom="0" percent="0" rank="0" text="" dxfId="236">
      <formula>0</formula>
    </cfRule>
    <cfRule type="expression" priority="226" aboveAverage="0" equalAverage="0" bottom="0" percent="0" rank="0" text="" dxfId="237">
      <formula>B66&gt;0</formula>
    </cfRule>
  </conditionalFormatting>
  <conditionalFormatting sqref="B68:C68">
    <cfRule type="cellIs" priority="227" operator="greaterThan" aboveAverage="0" equalAverage="0" bottom="0" percent="0" rank="0" text="" dxfId="238">
      <formula>0</formula>
    </cfRule>
    <cfRule type="expression" priority="228" aboveAverage="0" equalAverage="0" bottom="0" percent="0" rank="0" text="" dxfId="239">
      <formula>B67&gt;0</formula>
    </cfRule>
  </conditionalFormatting>
  <conditionalFormatting sqref="B69:C69">
    <cfRule type="cellIs" priority="229" operator="greaterThan" aboveAverage="0" equalAverage="0" bottom="0" percent="0" rank="0" text="" dxfId="240">
      <formula>0</formula>
    </cfRule>
    <cfRule type="expression" priority="230" aboveAverage="0" equalAverage="0" bottom="0" percent="0" rank="0" text="" dxfId="241">
      <formula>B68&gt;0</formula>
    </cfRule>
  </conditionalFormatting>
  <conditionalFormatting sqref="B70:C70">
    <cfRule type="cellIs" priority="231" operator="greaterThan" aboveAverage="0" equalAverage="0" bottom="0" percent="0" rank="0" text="" dxfId="242">
      <formula>0</formula>
    </cfRule>
    <cfRule type="expression" priority="232" aboveAverage="0" equalAverage="0" bottom="0" percent="0" rank="0" text="" dxfId="243">
      <formula>B69&gt;0</formula>
    </cfRule>
  </conditionalFormatting>
  <conditionalFormatting sqref="B71:C71">
    <cfRule type="cellIs" priority="233" operator="greaterThan" aboveAverage="0" equalAverage="0" bottom="0" percent="0" rank="0" text="" dxfId="244">
      <formula>0</formula>
    </cfRule>
    <cfRule type="expression" priority="234" aboveAverage="0" equalAverage="0" bottom="0" percent="0" rank="0" text="" dxfId="245">
      <formula>B70&gt;0</formula>
    </cfRule>
  </conditionalFormatting>
  <conditionalFormatting sqref="B72:C72">
    <cfRule type="cellIs" priority="235" operator="greaterThan" aboveAverage="0" equalAverage="0" bottom="0" percent="0" rank="0" text="" dxfId="246">
      <formula>0</formula>
    </cfRule>
    <cfRule type="expression" priority="236" aboveAverage="0" equalAverage="0" bottom="0" percent="0" rank="0" text="" dxfId="247">
      <formula>B71&gt;0</formula>
    </cfRule>
  </conditionalFormatting>
  <conditionalFormatting sqref="B80:C80">
    <cfRule type="cellIs" priority="237" operator="greaterThan" aboveAverage="0" equalAverage="0" bottom="0" percent="0" rank="0" text="" dxfId="248">
      <formula>0</formula>
    </cfRule>
    <cfRule type="expression" priority="238" aboveAverage="0" equalAverage="0" bottom="0" percent="0" rank="0" text="" dxfId="249">
      <formula>B73&gt;0</formula>
    </cfRule>
  </conditionalFormatting>
  <conditionalFormatting sqref="D29">
    <cfRule type="cellIs" priority="239" operator="greaterThan" aboveAverage="0" equalAverage="0" bottom="0" percent="0" rank="0" text="" dxfId="250">
      <formula>0</formula>
    </cfRule>
    <cfRule type="expression" priority="240" aboveAverage="0" equalAverage="0" bottom="0" percent="0" rank="0" text="" dxfId="251">
      <formula>D28&gt;0</formula>
    </cfRule>
  </conditionalFormatting>
  <conditionalFormatting sqref="D30">
    <cfRule type="cellIs" priority="241" operator="greaterThan" aboveAverage="0" equalAverage="0" bottom="0" percent="0" rank="0" text="" dxfId="252">
      <formula>0</formula>
    </cfRule>
    <cfRule type="expression" priority="242" aboveAverage="0" equalAverage="0" bottom="0" percent="0" rank="0" text="" dxfId="253">
      <formula>D29&gt;0</formula>
    </cfRule>
  </conditionalFormatting>
  <conditionalFormatting sqref="D31">
    <cfRule type="cellIs" priority="243" operator="greaterThan" aboveAverage="0" equalAverage="0" bottom="0" percent="0" rank="0" text="" dxfId="254">
      <formula>0</formula>
    </cfRule>
    <cfRule type="expression" priority="244" aboveAverage="0" equalAverage="0" bottom="0" percent="0" rank="0" text="" dxfId="255">
      <formula>D30&gt;0</formula>
    </cfRule>
  </conditionalFormatting>
  <conditionalFormatting sqref="D32">
    <cfRule type="cellIs" priority="245" operator="greaterThan" aboveAverage="0" equalAverage="0" bottom="0" percent="0" rank="0" text="" dxfId="256">
      <formula>0</formula>
    </cfRule>
    <cfRule type="expression" priority="246" aboveAverage="0" equalAverage="0" bottom="0" percent="0" rank="0" text="" dxfId="257">
      <formula>D31&gt;0</formula>
    </cfRule>
  </conditionalFormatting>
  <conditionalFormatting sqref="D33">
    <cfRule type="cellIs" priority="247" operator="greaterThan" aboveAverage="0" equalAverage="0" bottom="0" percent="0" rank="0" text="" dxfId="258">
      <formula>0</formula>
    </cfRule>
    <cfRule type="expression" priority="248" aboveAverage="0" equalAverage="0" bottom="0" percent="0" rank="0" text="" dxfId="259">
      <formula>D32&gt;0</formula>
    </cfRule>
  </conditionalFormatting>
  <conditionalFormatting sqref="D34">
    <cfRule type="cellIs" priority="249" operator="greaterThan" aboveAverage="0" equalAverage="0" bottom="0" percent="0" rank="0" text="" dxfId="260">
      <formula>0</formula>
    </cfRule>
    <cfRule type="expression" priority="250" aboveAverage="0" equalAverage="0" bottom="0" percent="0" rank="0" text="" dxfId="261">
      <formula>D33&gt;0</formula>
    </cfRule>
  </conditionalFormatting>
  <conditionalFormatting sqref="D35">
    <cfRule type="cellIs" priority="251" operator="greaterThan" aboveAverage="0" equalAverage="0" bottom="0" percent="0" rank="0" text="" dxfId="262">
      <formula>0</formula>
    </cfRule>
    <cfRule type="expression" priority="252" aboveAverage="0" equalAverage="0" bottom="0" percent="0" rank="0" text="" dxfId="263">
      <formula>D34&gt;0</formula>
    </cfRule>
  </conditionalFormatting>
  <conditionalFormatting sqref="D36">
    <cfRule type="cellIs" priority="253" operator="greaterThan" aboveAverage="0" equalAverage="0" bottom="0" percent="0" rank="0" text="" dxfId="264">
      <formula>0</formula>
    </cfRule>
    <cfRule type="expression" priority="254" aboveAverage="0" equalAverage="0" bottom="0" percent="0" rank="0" text="" dxfId="265">
      <formula>D35&gt;0</formula>
    </cfRule>
  </conditionalFormatting>
  <conditionalFormatting sqref="D37">
    <cfRule type="cellIs" priority="255" operator="greaterThan" aboveAverage="0" equalAverage="0" bottom="0" percent="0" rank="0" text="" dxfId="266">
      <formula>0</formula>
    </cfRule>
    <cfRule type="expression" priority="256" aboveAverage="0" equalAverage="0" bottom="0" percent="0" rank="0" text="" dxfId="267">
      <formula>D36&gt;0</formula>
    </cfRule>
  </conditionalFormatting>
  <conditionalFormatting sqref="K28:L55">
    <cfRule type="dataBar" priority="257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{9774E9BD-F354-4DF0-8721-687084C07670}</x14:id>
        </ext>
      </extLst>
    </cfRule>
  </conditionalFormatting>
  <conditionalFormatting sqref="D16:D17">
    <cfRule type="dataBar" priority="258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{909FA2D4-AFF4-48A7-8C80-C4508AD0656B}</x14:id>
        </ext>
      </extLst>
    </cfRule>
  </conditionalFormatting>
  <conditionalFormatting sqref="F16:F17">
    <cfRule type="dataBar" priority="259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{147063C8-DD9E-4FAF-9351-4173EF373533}</x14:id>
        </ext>
      </extLst>
    </cfRule>
  </conditionalFormatting>
  <conditionalFormatting sqref="E29">
    <cfRule type="cellIs" priority="260" operator="greaterThan" aboveAverage="0" equalAverage="0" bottom="0" percent="0" rank="0" text="" dxfId="268">
      <formula>0</formula>
    </cfRule>
    <cfRule type="expression" priority="261" aboveAverage="0" equalAverage="0" bottom="0" percent="0" rank="0" text="" dxfId="269">
      <formula>E28&gt;0</formula>
    </cfRule>
  </conditionalFormatting>
  <conditionalFormatting sqref="E30">
    <cfRule type="cellIs" priority="262" operator="greaterThan" aboveAverage="0" equalAverage="0" bottom="0" percent="0" rank="0" text="" dxfId="270">
      <formula>0</formula>
    </cfRule>
    <cfRule type="expression" priority="263" aboveAverage="0" equalAverage="0" bottom="0" percent="0" rank="0" text="" dxfId="271">
      <formula>E29&gt;0</formula>
    </cfRule>
  </conditionalFormatting>
  <conditionalFormatting sqref="E31">
    <cfRule type="cellIs" priority="264" operator="greaterThan" aboveAverage="0" equalAverage="0" bottom="0" percent="0" rank="0" text="" dxfId="272">
      <formula>0</formula>
    </cfRule>
    <cfRule type="expression" priority="265" aboveAverage="0" equalAverage="0" bottom="0" percent="0" rank="0" text="" dxfId="273">
      <formula>E30&gt;0</formula>
    </cfRule>
  </conditionalFormatting>
  <conditionalFormatting sqref="E32">
    <cfRule type="cellIs" priority="266" operator="greaterThan" aboveAverage="0" equalAverage="0" bottom="0" percent="0" rank="0" text="" dxfId="274">
      <formula>0</formula>
    </cfRule>
    <cfRule type="expression" priority="267" aboveAverage="0" equalAverage="0" bottom="0" percent="0" rank="0" text="" dxfId="275">
      <formula>E31&gt;0</formula>
    </cfRule>
  </conditionalFormatting>
  <conditionalFormatting sqref="E33">
    <cfRule type="cellIs" priority="268" operator="greaterThan" aboveAverage="0" equalAverage="0" bottom="0" percent="0" rank="0" text="" dxfId="276">
      <formula>0</formula>
    </cfRule>
    <cfRule type="expression" priority="269" aboveAverage="0" equalAverage="0" bottom="0" percent="0" rank="0" text="" dxfId="277">
      <formula>E32&gt;0</formula>
    </cfRule>
  </conditionalFormatting>
  <conditionalFormatting sqref="E34">
    <cfRule type="cellIs" priority="270" operator="greaterThan" aboveAverage="0" equalAverage="0" bottom="0" percent="0" rank="0" text="" dxfId="278">
      <formula>0</formula>
    </cfRule>
    <cfRule type="expression" priority="271" aboveAverage="0" equalAverage="0" bottom="0" percent="0" rank="0" text="" dxfId="279">
      <formula>E33&gt;0</formula>
    </cfRule>
  </conditionalFormatting>
  <conditionalFormatting sqref="E35">
    <cfRule type="cellIs" priority="272" operator="greaterThan" aboveAverage="0" equalAverage="0" bottom="0" percent="0" rank="0" text="" dxfId="280">
      <formula>0</formula>
    </cfRule>
    <cfRule type="expression" priority="273" aboveAverage="0" equalAverage="0" bottom="0" percent="0" rank="0" text="" dxfId="281">
      <formula>E34&gt;0</formula>
    </cfRule>
  </conditionalFormatting>
  <conditionalFormatting sqref="E36">
    <cfRule type="cellIs" priority="274" operator="greaterThan" aboveAverage="0" equalAverage="0" bottom="0" percent="0" rank="0" text="" dxfId="282">
      <formula>0</formula>
    </cfRule>
    <cfRule type="expression" priority="275" aboveAverage="0" equalAverage="0" bottom="0" percent="0" rank="0" text="" dxfId="283">
      <formula>E35&gt;0</formula>
    </cfRule>
  </conditionalFormatting>
  <conditionalFormatting sqref="E37">
    <cfRule type="cellIs" priority="276" operator="greaterThan" aboveAverage="0" equalAverage="0" bottom="0" percent="0" rank="0" text="" dxfId="284">
      <formula>0</formula>
    </cfRule>
    <cfRule type="expression" priority="277" aboveAverage="0" equalAverage="0" bottom="0" percent="0" rank="0" text="" dxfId="285">
      <formula>E36&gt;0</formula>
    </cfRule>
  </conditionalFormatting>
  <conditionalFormatting sqref="P90">
    <cfRule type="cellIs" priority="278" operator="equal" aboveAverage="0" equalAverage="0" bottom="0" percent="0" rank="0" text="" dxfId="286">
      <formula>"не окупится"</formula>
    </cfRule>
  </conditionalFormatting>
  <conditionalFormatting sqref="P91">
    <cfRule type="cellIs" priority="279" operator="equal" aboveAverage="0" equalAverage="0" bottom="0" percent="0" rank="0" text="" dxfId="287">
      <formula>"не окупится"</formula>
    </cfRule>
  </conditionalFormatting>
  <conditionalFormatting sqref="P92">
    <cfRule type="cellIs" priority="280" operator="equal" aboveAverage="0" equalAverage="0" bottom="0" percent="0" rank="0" text="" dxfId="288">
      <formula>"не окупится"</formula>
    </cfRule>
  </conditionalFormatting>
  <conditionalFormatting sqref="P93">
    <cfRule type="cellIs" priority="281" operator="equal" aboveAverage="0" equalAverage="0" bottom="0" percent="0" rank="0" text="" dxfId="289">
      <formula>"не окупится"</formula>
    </cfRule>
  </conditionalFormatting>
  <conditionalFormatting sqref="P94">
    <cfRule type="cellIs" priority="282" operator="equal" aboveAverage="0" equalAverage="0" bottom="0" percent="0" rank="0" text="" dxfId="290">
      <formula>"не окупится"</formula>
    </cfRule>
  </conditionalFormatting>
  <conditionalFormatting sqref="P95">
    <cfRule type="cellIs" priority="283" operator="equal" aboveAverage="0" equalAverage="0" bottom="0" percent="0" rank="0" text="" dxfId="291">
      <formula>"не окупится"</formula>
    </cfRule>
  </conditionalFormatting>
  <conditionalFormatting sqref="P96">
    <cfRule type="cellIs" priority="284" operator="equal" aboveAverage="0" equalAverage="0" bottom="0" percent="0" rank="0" text="" dxfId="292">
      <formula>"не окупится"</formula>
    </cfRule>
  </conditionalFormatting>
  <conditionalFormatting sqref="M29">
    <cfRule type="cellIs" priority="285" operator="greaterThan" aboveAverage="0" equalAverage="0" bottom="0" percent="0" rank="0" text="" dxfId="293">
      <formula>0</formula>
    </cfRule>
    <cfRule type="expression" priority="286" aboveAverage="0" equalAverage="0" bottom="0" percent="0" rank="0" text="" dxfId="294">
      <formula>M28&gt;0</formula>
    </cfRule>
  </conditionalFormatting>
  <conditionalFormatting sqref="M30">
    <cfRule type="cellIs" priority="287" operator="greaterThan" aboveAverage="0" equalAverage="0" bottom="0" percent="0" rank="0" text="" dxfId="295">
      <formula>0</formula>
    </cfRule>
    <cfRule type="expression" priority="288" aboveAverage="0" equalAverage="0" bottom="0" percent="0" rank="0" text="" dxfId="296">
      <formula>M29&gt;0</formula>
    </cfRule>
  </conditionalFormatting>
  <conditionalFormatting sqref="M31">
    <cfRule type="cellIs" priority="289" operator="greaterThan" aboveAverage="0" equalAverage="0" bottom="0" percent="0" rank="0" text="" dxfId="297">
      <formula>0</formula>
    </cfRule>
    <cfRule type="expression" priority="290" aboveAverage="0" equalAverage="0" bottom="0" percent="0" rank="0" text="" dxfId="298">
      <formula>M30&gt;0</formula>
    </cfRule>
  </conditionalFormatting>
  <conditionalFormatting sqref="M32">
    <cfRule type="cellIs" priority="291" operator="greaterThan" aboveAverage="0" equalAverage="0" bottom="0" percent="0" rank="0" text="" dxfId="299">
      <formula>0</formula>
    </cfRule>
    <cfRule type="expression" priority="292" aboveAverage="0" equalAverage="0" bottom="0" percent="0" rank="0" text="" dxfId="300">
      <formula>M31&gt;0</formula>
    </cfRule>
  </conditionalFormatting>
  <conditionalFormatting sqref="M33">
    <cfRule type="cellIs" priority="293" operator="greaterThan" aboveAverage="0" equalAverage="0" bottom="0" percent="0" rank="0" text="" dxfId="301">
      <formula>0</formula>
    </cfRule>
    <cfRule type="expression" priority="294" aboveAverage="0" equalAverage="0" bottom="0" percent="0" rank="0" text="" dxfId="302">
      <formula>M32&gt;0</formula>
    </cfRule>
  </conditionalFormatting>
  <conditionalFormatting sqref="M34">
    <cfRule type="cellIs" priority="295" operator="greaterThan" aboveAverage="0" equalAverage="0" bottom="0" percent="0" rank="0" text="" dxfId="303">
      <formula>0</formula>
    </cfRule>
    <cfRule type="expression" priority="296" aboveAverage="0" equalAverage="0" bottom="0" percent="0" rank="0" text="" dxfId="304">
      <formula>M33&gt;0</formula>
    </cfRule>
  </conditionalFormatting>
  <conditionalFormatting sqref="M35">
    <cfRule type="cellIs" priority="297" operator="greaterThan" aboveAverage="0" equalAverage="0" bottom="0" percent="0" rank="0" text="" dxfId="305">
      <formula>0</formula>
    </cfRule>
    <cfRule type="expression" priority="298" aboveAverage="0" equalAverage="0" bottom="0" percent="0" rank="0" text="" dxfId="306">
      <formula>M34&gt;0</formula>
    </cfRule>
  </conditionalFormatting>
  <conditionalFormatting sqref="M36">
    <cfRule type="cellIs" priority="299" operator="greaterThan" aboveAverage="0" equalAverage="0" bottom="0" percent="0" rank="0" text="" dxfId="307">
      <formula>0</formula>
    </cfRule>
    <cfRule type="expression" priority="300" aboveAverage="0" equalAverage="0" bottom="0" percent="0" rank="0" text="" dxfId="308">
      <formula>M35&gt;0</formula>
    </cfRule>
  </conditionalFormatting>
  <conditionalFormatting sqref="M37">
    <cfRule type="cellIs" priority="301" operator="greaterThan" aboveAverage="0" equalAverage="0" bottom="0" percent="0" rank="0" text="" dxfId="309">
      <formula>0</formula>
    </cfRule>
    <cfRule type="expression" priority="302" aboveAverage="0" equalAverage="0" bottom="0" percent="0" rank="0" text="" dxfId="310">
      <formula>M36&gt;0</formula>
    </cfRule>
  </conditionalFormatting>
  <conditionalFormatting sqref="D68">
    <cfRule type="cellIs" priority="303" operator="greaterThan" aboveAverage="0" equalAverage="0" bottom="0" percent="0" rank="0" text="" dxfId="311">
      <formula>0</formula>
    </cfRule>
    <cfRule type="expression" priority="304" aboveAverage="0" equalAverage="0" bottom="0" percent="0" rank="0" text="" dxfId="312">
      <formula>D67&gt;0</formula>
    </cfRule>
  </conditionalFormatting>
  <conditionalFormatting sqref="D69">
    <cfRule type="cellIs" priority="305" operator="greaterThan" aboveAverage="0" equalAverage="0" bottom="0" percent="0" rank="0" text="" dxfId="313">
      <formula>0</formula>
    </cfRule>
    <cfRule type="expression" priority="306" aboveAverage="0" equalAverage="0" bottom="0" percent="0" rank="0" text="" dxfId="314">
      <formula>D68&gt;0</formula>
    </cfRule>
  </conditionalFormatting>
  <conditionalFormatting sqref="D70">
    <cfRule type="cellIs" priority="307" operator="greaterThan" aboveAverage="0" equalAverage="0" bottom="0" percent="0" rank="0" text="" dxfId="315">
      <formula>0</formula>
    </cfRule>
    <cfRule type="expression" priority="308" aboveAverage="0" equalAverage="0" bottom="0" percent="0" rank="0" text="" dxfId="316">
      <formula>D69&gt;0</formula>
    </cfRule>
  </conditionalFormatting>
  <conditionalFormatting sqref="D71">
    <cfRule type="cellIs" priority="309" operator="greaterThan" aboveAverage="0" equalAverage="0" bottom="0" percent="0" rank="0" text="" dxfId="317">
      <formula>0</formula>
    </cfRule>
    <cfRule type="expression" priority="310" aboveAverage="0" equalAverage="0" bottom="0" percent="0" rank="0" text="" dxfId="318">
      <formula>D70&gt;0</formula>
    </cfRule>
  </conditionalFormatting>
  <conditionalFormatting sqref="D72">
    <cfRule type="cellIs" priority="311" operator="greaterThan" aboveAverage="0" equalAverage="0" bottom="0" percent="0" rank="0" text="" dxfId="319">
      <formula>0</formula>
    </cfRule>
    <cfRule type="expression" priority="312" aboveAverage="0" equalAverage="0" bottom="0" percent="0" rank="0" text="" dxfId="320">
      <formula>D71&gt;0</formula>
    </cfRule>
  </conditionalFormatting>
  <conditionalFormatting sqref="H66">
    <cfRule type="cellIs" priority="313" operator="greaterThan" aboveAverage="0" equalAverage="0" bottom="0" percent="0" rank="0" text="" dxfId="321">
      <formula>0</formula>
    </cfRule>
    <cfRule type="expression" priority="314" aboveAverage="0" equalAverage="0" bottom="0" percent="0" rank="0" text="" dxfId="322">
      <formula>H65&gt;0</formula>
    </cfRule>
  </conditionalFormatting>
  <conditionalFormatting sqref="H67">
    <cfRule type="cellIs" priority="315" operator="greaterThan" aboveAverage="0" equalAverage="0" bottom="0" percent="0" rank="0" text="" dxfId="323">
      <formula>0</formula>
    </cfRule>
    <cfRule type="expression" priority="316" aboveAverage="0" equalAverage="0" bottom="0" percent="0" rank="0" text="" dxfId="324">
      <formula>H66&gt;0</formula>
    </cfRule>
  </conditionalFormatting>
  <conditionalFormatting sqref="H68">
    <cfRule type="cellIs" priority="317" operator="greaterThan" aboveAverage="0" equalAverage="0" bottom="0" percent="0" rank="0" text="" dxfId="325">
      <formula>0</formula>
    </cfRule>
    <cfRule type="expression" priority="318" aboveAverage="0" equalAverage="0" bottom="0" percent="0" rank="0" text="" dxfId="326">
      <formula>H67&gt;0</formula>
    </cfRule>
  </conditionalFormatting>
  <conditionalFormatting sqref="H69">
    <cfRule type="cellIs" priority="319" operator="greaterThan" aboveAverage="0" equalAverage="0" bottom="0" percent="0" rank="0" text="" dxfId="327">
      <formula>0</formula>
    </cfRule>
    <cfRule type="expression" priority="320" aboveAverage="0" equalAverage="0" bottom="0" percent="0" rank="0" text="" dxfId="328">
      <formula>H68&gt;0</formula>
    </cfRule>
  </conditionalFormatting>
  <conditionalFormatting sqref="H70">
    <cfRule type="cellIs" priority="321" operator="greaterThan" aboveAverage="0" equalAverage="0" bottom="0" percent="0" rank="0" text="" dxfId="329">
      <formula>0</formula>
    </cfRule>
    <cfRule type="expression" priority="322" aboveAverage="0" equalAverage="0" bottom="0" percent="0" rank="0" text="" dxfId="330">
      <formula>H69&gt;0</formula>
    </cfRule>
  </conditionalFormatting>
  <conditionalFormatting sqref="H71">
    <cfRule type="cellIs" priority="323" operator="greaterThan" aboveAverage="0" equalAverage="0" bottom="0" percent="0" rank="0" text="" dxfId="331">
      <formula>0</formula>
    </cfRule>
    <cfRule type="expression" priority="324" aboveAverage="0" equalAverage="0" bottom="0" percent="0" rank="0" text="" dxfId="332">
      <formula>H70&gt;0</formula>
    </cfRule>
  </conditionalFormatting>
  <conditionalFormatting sqref="H72">
    <cfRule type="cellIs" priority="325" operator="greaterThan" aboveAverage="0" equalAverage="0" bottom="0" percent="0" rank="0" text="" dxfId="333">
      <formula>0</formula>
    </cfRule>
    <cfRule type="expression" priority="326" aboveAverage="0" equalAverage="0" bottom="0" percent="0" rank="0" text="" dxfId="334">
      <formula>H71&gt;0</formula>
    </cfRule>
  </conditionalFormatting>
  <conditionalFormatting sqref="I29:J29">
    <cfRule type="cellIs" priority="327" operator="greaterThan" aboveAverage="0" equalAverage="0" bottom="0" percent="0" rank="0" text="" dxfId="335">
      <formula>0</formula>
    </cfRule>
    <cfRule type="expression" priority="328" aboveAverage="0" equalAverage="0" bottom="0" percent="0" rank="0" text="" dxfId="336">
      <formula>I28&gt;0</formula>
    </cfRule>
  </conditionalFormatting>
  <conditionalFormatting sqref="I30:J30">
    <cfRule type="cellIs" priority="329" operator="greaterThan" aboveAverage="0" equalAverage="0" bottom="0" percent="0" rank="0" text="" dxfId="337">
      <formula>0</formula>
    </cfRule>
    <cfRule type="expression" priority="330" aboveAverage="0" equalAverage="0" bottom="0" percent="0" rank="0" text="" dxfId="338">
      <formula>I29&gt;0</formula>
    </cfRule>
  </conditionalFormatting>
  <conditionalFormatting sqref="I31:J31">
    <cfRule type="cellIs" priority="331" operator="greaterThan" aboveAverage="0" equalAverage="0" bottom="0" percent="0" rank="0" text="" dxfId="339">
      <formula>0</formula>
    </cfRule>
    <cfRule type="expression" priority="332" aboveAverage="0" equalAverage="0" bottom="0" percent="0" rank="0" text="" dxfId="340">
      <formula>I30&gt;0</formula>
    </cfRule>
  </conditionalFormatting>
  <conditionalFormatting sqref="I32:J32">
    <cfRule type="cellIs" priority="333" operator="greaterThan" aboveAverage="0" equalAverage="0" bottom="0" percent="0" rank="0" text="" dxfId="341">
      <formula>0</formula>
    </cfRule>
    <cfRule type="expression" priority="334" aboveAverage="0" equalAverage="0" bottom="0" percent="0" rank="0" text="" dxfId="342">
      <formula>I31&gt;0</formula>
    </cfRule>
  </conditionalFormatting>
  <conditionalFormatting sqref="I33:J33">
    <cfRule type="cellIs" priority="335" operator="greaterThan" aboveAverage="0" equalAverage="0" bottom="0" percent="0" rank="0" text="" dxfId="343">
      <formula>0</formula>
    </cfRule>
    <cfRule type="expression" priority="336" aboveAverage="0" equalAverage="0" bottom="0" percent="0" rank="0" text="" dxfId="344">
      <formula>I32&gt;0</formula>
    </cfRule>
  </conditionalFormatting>
  <conditionalFormatting sqref="I34:J34">
    <cfRule type="cellIs" priority="337" operator="greaterThan" aboveAverage="0" equalAverage="0" bottom="0" percent="0" rank="0" text="" dxfId="345">
      <formula>0</formula>
    </cfRule>
    <cfRule type="expression" priority="338" aboveAverage="0" equalAverage="0" bottom="0" percent="0" rank="0" text="" dxfId="346">
      <formula>I33&gt;0</formula>
    </cfRule>
  </conditionalFormatting>
  <conditionalFormatting sqref="I35:J35">
    <cfRule type="cellIs" priority="339" operator="greaterThan" aboveAverage="0" equalAverage="0" bottom="0" percent="0" rank="0" text="" dxfId="347">
      <formula>0</formula>
    </cfRule>
    <cfRule type="expression" priority="340" aboveAverage="0" equalAverage="0" bottom="0" percent="0" rank="0" text="" dxfId="348">
      <formula>I34&gt;0</formula>
    </cfRule>
  </conditionalFormatting>
  <conditionalFormatting sqref="I36:J36">
    <cfRule type="cellIs" priority="341" operator="greaterThan" aboveAverage="0" equalAverage="0" bottom="0" percent="0" rank="0" text="" dxfId="349">
      <formula>0</formula>
    </cfRule>
    <cfRule type="expression" priority="342" aboveAverage="0" equalAverage="0" bottom="0" percent="0" rank="0" text="" dxfId="350">
      <formula>I35&gt;0</formula>
    </cfRule>
  </conditionalFormatting>
  <conditionalFormatting sqref="I37:J37">
    <cfRule type="cellIs" priority="343" operator="greaterThan" aboveAverage="0" equalAverage="0" bottom="0" percent="0" rank="0" text="" dxfId="351">
      <formula>0</formula>
    </cfRule>
    <cfRule type="expression" priority="344" aboveAverage="0" equalAverage="0" bottom="0" percent="0" rank="0" text="" dxfId="352">
      <formula>I36&gt;0</formula>
    </cfRule>
  </conditionalFormatting>
  <conditionalFormatting sqref="I65:J65">
    <cfRule type="cellIs" priority="345" operator="greaterThan" aboveAverage="0" equalAverage="0" bottom="0" percent="0" rank="0" text="" dxfId="353">
      <formula>0</formula>
    </cfRule>
    <cfRule type="expression" priority="346" aboveAverage="0" equalAverage="0" bottom="0" percent="0" rank="0" text="" dxfId="354">
      <formula>I64&gt;0</formula>
    </cfRule>
  </conditionalFormatting>
  <conditionalFormatting sqref="I66:J66">
    <cfRule type="cellIs" priority="347" operator="greaterThan" aboveAverage="0" equalAverage="0" bottom="0" percent="0" rank="0" text="" dxfId="355">
      <formula>0</formula>
    </cfRule>
    <cfRule type="expression" priority="348" aboveAverage="0" equalAverage="0" bottom="0" percent="0" rank="0" text="" dxfId="356">
      <formula>I65&gt;0</formula>
    </cfRule>
  </conditionalFormatting>
  <conditionalFormatting sqref="I67:J67">
    <cfRule type="cellIs" priority="349" operator="greaterThan" aboveAverage="0" equalAverage="0" bottom="0" percent="0" rank="0" text="" dxfId="357">
      <formula>0</formula>
    </cfRule>
    <cfRule type="expression" priority="350" aboveAverage="0" equalAverage="0" bottom="0" percent="0" rank="0" text="" dxfId="358">
      <formula>I66&gt;0</formula>
    </cfRule>
  </conditionalFormatting>
  <conditionalFormatting sqref="I68:J68">
    <cfRule type="cellIs" priority="351" operator="greaterThan" aboveAverage="0" equalAverage="0" bottom="0" percent="0" rank="0" text="" dxfId="359">
      <formula>0</formula>
    </cfRule>
    <cfRule type="expression" priority="352" aboveAverage="0" equalAverage="0" bottom="0" percent="0" rank="0" text="" dxfId="360">
      <formula>I67&gt;0</formula>
    </cfRule>
  </conditionalFormatting>
  <conditionalFormatting sqref="I69:J69">
    <cfRule type="cellIs" priority="353" operator="greaterThan" aboveAverage="0" equalAverage="0" bottom="0" percent="0" rank="0" text="" dxfId="361">
      <formula>0</formula>
    </cfRule>
    <cfRule type="expression" priority="354" aboveAverage="0" equalAverage="0" bottom="0" percent="0" rank="0" text="" dxfId="362">
      <formula>I68&gt;0</formula>
    </cfRule>
  </conditionalFormatting>
  <conditionalFormatting sqref="I70:J70">
    <cfRule type="cellIs" priority="355" operator="greaterThan" aboveAverage="0" equalAverage="0" bottom="0" percent="0" rank="0" text="" dxfId="363">
      <formula>0</formula>
    </cfRule>
    <cfRule type="expression" priority="356" aboveAverage="0" equalAverage="0" bottom="0" percent="0" rank="0" text="" dxfId="364">
      <formula>I69&gt;0</formula>
    </cfRule>
  </conditionalFormatting>
  <conditionalFormatting sqref="I71:J71">
    <cfRule type="cellIs" priority="357" operator="greaterThan" aboveAverage="0" equalAverage="0" bottom="0" percent="0" rank="0" text="" dxfId="365">
      <formula>0</formula>
    </cfRule>
    <cfRule type="expression" priority="358" aboveAverage="0" equalAverage="0" bottom="0" percent="0" rank="0" text="" dxfId="366">
      <formula>I70&gt;0</formula>
    </cfRule>
  </conditionalFormatting>
  <conditionalFormatting sqref="I72:J72">
    <cfRule type="cellIs" priority="359" operator="greaterThan" aboveAverage="0" equalAverage="0" bottom="0" percent="0" rank="0" text="" dxfId="367">
      <formula>0</formula>
    </cfRule>
    <cfRule type="expression" priority="360" aboveAverage="0" equalAverage="0" bottom="0" percent="0" rank="0" text="" dxfId="368">
      <formula>I71&gt;0</formula>
    </cfRule>
  </conditionalFormatting>
  <conditionalFormatting sqref="M28">
    <cfRule type="cellIs" priority="361" operator="greaterThan" aboveAverage="0" equalAverage="0" bottom="0" percent="0" rank="0" text="" dxfId="369">
      <formula>0</formula>
    </cfRule>
  </conditionalFormatting>
  <conditionalFormatting sqref="N28">
    <cfRule type="cellIs" priority="362" operator="greaterThan" aboveAverage="0" equalAverage="0" bottom="0" percent="0" rank="0" text="" dxfId="370">
      <formula>0</formula>
    </cfRule>
  </conditionalFormatting>
  <conditionalFormatting sqref="K64:L80">
    <cfRule type="dataBar" priority="363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{AFF6BE84-5380-44BA-AFB5-BDF24A94DD90}</x14:id>
        </ext>
      </extLst>
    </cfRule>
  </conditionalFormatting>
  <conditionalFormatting sqref="D6">
    <cfRule type="cellIs" priority="364" operator="greaterThan" aboveAverage="0" equalAverage="0" bottom="0" percent="0" rank="0" text="" dxfId="371">
      <formula>0</formula>
    </cfRule>
  </conditionalFormatting>
  <conditionalFormatting sqref="F84">
    <cfRule type="cellIs" priority="365" operator="greaterThan" aboveAverage="0" equalAverage="0" bottom="0" percent="0" rank="0" text="" dxfId="372">
      <formula>0</formula>
    </cfRule>
  </conditionalFormatting>
  <conditionalFormatting sqref="B94">
    <cfRule type="cellIs" priority="366" operator="greaterThan" aboveAverage="0" equalAverage="0" bottom="0" percent="0" rank="0" text="" dxfId="373">
      <formula>0</formula>
    </cfRule>
  </conditionalFormatting>
  <conditionalFormatting sqref="C94">
    <cfRule type="cellIs" priority="367" operator="greaterThan" aboveAverage="0" equalAverage="0" bottom="0" percent="0" rank="0" text="" dxfId="374">
      <formula>0</formula>
    </cfRule>
  </conditionalFormatting>
  <conditionalFormatting sqref="H64">
    <cfRule type="cellIs" priority="368" operator="greaterThan" aboveAverage="0" equalAverage="0" bottom="0" percent="0" rank="0" text="" dxfId="375">
      <formula>0</formula>
    </cfRule>
  </conditionalFormatting>
  <conditionalFormatting sqref="H65">
    <cfRule type="cellIs" priority="369" operator="greaterThan" aboveAverage="0" equalAverage="0" bottom="0" percent="0" rank="0" text="" dxfId="376">
      <formula>0</formula>
    </cfRule>
    <cfRule type="expression" priority="370" aboveAverage="0" equalAverage="0" bottom="0" percent="0" rank="0" text="" dxfId="377">
      <formula>H64&gt;0</formula>
    </cfRule>
  </conditionalFormatting>
  <conditionalFormatting sqref="L86">
    <cfRule type="cellIs" priority="371" operator="greaterThan" aboveAverage="0" equalAverage="0" bottom="0" percent="0" rank="0" text="" dxfId="378">
      <formula>0</formula>
    </cfRule>
  </conditionalFormatting>
  <conditionalFormatting sqref="C92:C116">
    <cfRule type="dataBar" priority="372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{7CFA9721-DF6A-49FC-AA45-BFC361903BD6}</x14:id>
        </ext>
      </extLst>
    </cfRule>
  </conditionalFormatting>
  <conditionalFormatting sqref="F92:F116">
    <cfRule type="dataBar" priority="373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{84DBE1D3-5723-46CC-A093-D3E6C6AF1187}</x14:id>
        </ext>
      </extLst>
    </cfRule>
  </conditionalFormatting>
  <conditionalFormatting sqref="F28:G55">
    <cfRule type="dataBar" priority="37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{5842C1CD-5E80-4959-A375-2EE68A30B583}</x14:id>
        </ext>
      </extLst>
    </cfRule>
  </conditionalFormatting>
  <conditionalFormatting sqref="C115 F115">
    <cfRule type="cellIs" priority="375" operator="greaterThan" aboveAverage="0" equalAverage="0" bottom="0" percent="0" rank="0" text="" dxfId="379">
      <formula>0</formula>
    </cfRule>
    <cfRule type="expression" priority="376" aboveAverage="0" equalAverage="0" bottom="0" percent="0" rank="0" text="" dxfId="380">
      <formula>C110&gt;0</formula>
    </cfRule>
  </conditionalFormatting>
  <conditionalFormatting sqref="C114 F114">
    <cfRule type="cellIs" priority="377" operator="greaterThan" aboveAverage="0" equalAverage="0" bottom="0" percent="0" rank="0" text="" dxfId="381">
      <formula>0</formula>
    </cfRule>
    <cfRule type="expression" priority="378" aboveAverage="0" equalAverage="0" bottom="0" percent="0" rank="0" text="" dxfId="382">
      <formula>C110&gt;0</formula>
    </cfRule>
  </conditionalFormatting>
  <conditionalFormatting sqref="C113 F113">
    <cfRule type="cellIs" priority="379" operator="greaterThan" aboveAverage="0" equalAverage="0" bottom="0" percent="0" rank="0" text="" dxfId="383">
      <formula>0</formula>
    </cfRule>
    <cfRule type="expression" priority="380" aboveAverage="0" equalAverage="0" bottom="0" percent="0" rank="0" text="" dxfId="384">
      <formula>C110&gt;0</formula>
    </cfRule>
  </conditionalFormatting>
  <conditionalFormatting sqref="C112 F112">
    <cfRule type="cellIs" priority="381" operator="greaterThan" aboveAverage="0" equalAverage="0" bottom="0" percent="0" rank="0" text="" dxfId="385">
      <formula>0</formula>
    </cfRule>
    <cfRule type="expression" priority="382" aboveAverage="0" equalAverage="0" bottom="0" percent="0" rank="0" text="" dxfId="386">
      <formula>C110&gt;0</formula>
    </cfRule>
  </conditionalFormatting>
  <conditionalFormatting sqref="B110">
    <cfRule type="cellIs" priority="383" operator="greaterThan" aboveAverage="0" equalAverage="0" bottom="0" percent="0" rank="0" text="" dxfId="387">
      <formula>0</formula>
    </cfRule>
    <cfRule type="expression" priority="384" aboveAverage="0" equalAverage="0" bottom="0" percent="0" rank="0" text="" dxfId="388">
      <formula>B109&gt;0</formula>
    </cfRule>
  </conditionalFormatting>
  <conditionalFormatting sqref="B111">
    <cfRule type="cellIs" priority="385" operator="greaterThan" aboveAverage="0" equalAverage="0" bottom="0" percent="0" rank="0" text="" dxfId="389">
      <formula>0</formula>
    </cfRule>
    <cfRule type="expression" priority="386" aboveAverage="0" equalAverage="0" bottom="0" percent="0" rank="0" text="" dxfId="390">
      <formula>B110&gt;0</formula>
    </cfRule>
  </conditionalFormatting>
  <conditionalFormatting sqref="B112">
    <cfRule type="cellIs" priority="387" operator="greaterThan" aboveAverage="0" equalAverage="0" bottom="0" percent="0" rank="0" text="" dxfId="391">
      <formula>0</formula>
    </cfRule>
    <cfRule type="expression" priority="388" aboveAverage="0" equalAverage="0" bottom="0" percent="0" rank="0" text="" dxfId="392">
      <formula>B111&gt;0</formula>
    </cfRule>
  </conditionalFormatting>
  <conditionalFormatting sqref="B113">
    <cfRule type="cellIs" priority="389" operator="greaterThan" aboveAverage="0" equalAverage="0" bottom="0" percent="0" rank="0" text="" dxfId="393">
      <formula>0</formula>
    </cfRule>
    <cfRule type="expression" priority="390" aboveAverage="0" equalAverage="0" bottom="0" percent="0" rank="0" text="" dxfId="394">
      <formula>B112&gt;0</formula>
    </cfRule>
  </conditionalFormatting>
  <conditionalFormatting sqref="B114">
    <cfRule type="cellIs" priority="391" operator="greaterThan" aboveAverage="0" equalAverage="0" bottom="0" percent="0" rank="0" text="" dxfId="395">
      <formula>0</formula>
    </cfRule>
    <cfRule type="expression" priority="392" aboveAverage="0" equalAverage="0" bottom="0" percent="0" rank="0" text="" dxfId="396">
      <formula>B113&gt;0</formula>
    </cfRule>
  </conditionalFormatting>
  <conditionalFormatting sqref="B115">
    <cfRule type="cellIs" priority="393" operator="greaterThan" aboveAverage="0" equalAverage="0" bottom="0" percent="0" rank="0" text="" dxfId="397">
      <formula>0</formula>
    </cfRule>
    <cfRule type="expression" priority="394" aboveAverage="0" equalAverage="0" bottom="0" percent="0" rank="0" text="" dxfId="398">
      <formula>B114&gt;0</formula>
    </cfRule>
  </conditionalFormatting>
  <conditionalFormatting sqref="B116">
    <cfRule type="cellIs" priority="395" operator="greaterThan" aboveAverage="0" equalAverage="0" bottom="0" percent="0" rank="0" text="" dxfId="399">
      <formula>0</formula>
    </cfRule>
    <cfRule type="expression" priority="396" aboveAverage="0" equalAverage="0" bottom="0" percent="0" rank="0" text="" dxfId="400">
      <formula>B115&gt;0</formula>
    </cfRule>
  </conditionalFormatting>
  <conditionalFormatting sqref="C109">
    <cfRule type="cellIs" priority="397" operator="greaterThan" aboveAverage="0" equalAverage="0" bottom="0" percent="0" rank="0" text="" dxfId="401">
      <formula>0</formula>
    </cfRule>
    <cfRule type="expression" priority="398" aboveAverage="0" equalAverage="0" bottom="0" percent="0" rank="0" text="" dxfId="402">
      <formula>C108&gt;0</formula>
    </cfRule>
  </conditionalFormatting>
  <conditionalFormatting sqref="C110">
    <cfRule type="cellIs" priority="399" operator="greaterThan" aboveAverage="0" equalAverage="0" bottom="0" percent="0" rank="0" text="" dxfId="403">
      <formula>0</formula>
    </cfRule>
    <cfRule type="expression" priority="400" aboveAverage="0" equalAverage="0" bottom="0" percent="0" rank="0" text="" dxfId="404">
      <formula>C109&gt;0</formula>
    </cfRule>
  </conditionalFormatting>
  <conditionalFormatting sqref="C111">
    <cfRule type="cellIs" priority="401" operator="greaterThan" aboveAverage="0" equalAverage="0" bottom="0" percent="0" rank="0" text="" dxfId="405">
      <formula>0</formula>
    </cfRule>
    <cfRule type="expression" priority="402" aboveAverage="0" equalAverage="0" bottom="0" percent="0" rank="0" text="" dxfId="406">
      <formula>C110&gt;0</formula>
    </cfRule>
  </conditionalFormatting>
  <conditionalFormatting sqref="C112">
    <cfRule type="cellIs" priority="403" operator="greaterThan" aboveAverage="0" equalAverage="0" bottom="0" percent="0" rank="0" text="" dxfId="407">
      <formula>0</formula>
    </cfRule>
    <cfRule type="expression" priority="404" aboveAverage="0" equalAverage="0" bottom="0" percent="0" rank="0" text="" dxfId="408">
      <formula>C111&gt;0</formula>
    </cfRule>
  </conditionalFormatting>
  <conditionalFormatting sqref="C113">
    <cfRule type="cellIs" priority="405" operator="greaterThan" aboveAverage="0" equalAverage="0" bottom="0" percent="0" rank="0" text="" dxfId="409">
      <formula>0</formula>
    </cfRule>
    <cfRule type="expression" priority="406" aboveAverage="0" equalAverage="0" bottom="0" percent="0" rank="0" text="" dxfId="410">
      <formula>C112&gt;0</formula>
    </cfRule>
  </conditionalFormatting>
  <conditionalFormatting sqref="C114">
    <cfRule type="cellIs" priority="407" operator="greaterThan" aboveAverage="0" equalAverage="0" bottom="0" percent="0" rank="0" text="" dxfId="411">
      <formula>0</formula>
    </cfRule>
    <cfRule type="expression" priority="408" aboveAverage="0" equalAverage="0" bottom="0" percent="0" rank="0" text="" dxfId="412">
      <formula>C113&gt;0</formula>
    </cfRule>
  </conditionalFormatting>
  <conditionalFormatting sqref="C115">
    <cfRule type="cellIs" priority="409" operator="greaterThan" aboveAverage="0" equalAverage="0" bottom="0" percent="0" rank="0" text="" dxfId="413">
      <formula>0</formula>
    </cfRule>
    <cfRule type="expression" priority="410" aboveAverage="0" equalAverage="0" bottom="0" percent="0" rank="0" text="" dxfId="414">
      <formula>C114&gt;0</formula>
    </cfRule>
  </conditionalFormatting>
  <conditionalFormatting sqref="C116">
    <cfRule type="cellIs" priority="411" operator="greaterThan" aboveAverage="0" equalAverage="0" bottom="0" percent="0" rank="0" text="" dxfId="415">
      <formula>0</formula>
    </cfRule>
    <cfRule type="expression" priority="412" aboveAverage="0" equalAverage="0" bottom="0" percent="0" rank="0" text="" dxfId="416">
      <formula>C115&gt;0</formula>
    </cfRule>
  </conditionalFormatting>
  <conditionalFormatting sqref="D109:E109">
    <cfRule type="cellIs" priority="413" operator="greaterThan" aboveAverage="0" equalAverage="0" bottom="0" percent="0" rank="0" text="" dxfId="417">
      <formula>0</formula>
    </cfRule>
    <cfRule type="expression" priority="414" aboveAverage="0" equalAverage="0" bottom="0" percent="0" rank="0" text="" dxfId="418">
      <formula>D108&gt;0</formula>
    </cfRule>
  </conditionalFormatting>
  <conditionalFormatting sqref="D110:E110">
    <cfRule type="cellIs" priority="415" operator="greaterThan" aboveAverage="0" equalAverage="0" bottom="0" percent="0" rank="0" text="" dxfId="419">
      <formula>0</formula>
    </cfRule>
    <cfRule type="expression" priority="416" aboveAverage="0" equalAverage="0" bottom="0" percent="0" rank="0" text="" dxfId="420">
      <formula>D109&gt;0</formula>
    </cfRule>
  </conditionalFormatting>
  <conditionalFormatting sqref="D111:E111">
    <cfRule type="cellIs" priority="417" operator="greaterThan" aboveAverage="0" equalAverage="0" bottom="0" percent="0" rank="0" text="" dxfId="421">
      <formula>0</formula>
    </cfRule>
    <cfRule type="expression" priority="418" aboveAverage="0" equalAverage="0" bottom="0" percent="0" rank="0" text="" dxfId="422">
      <formula>D110&gt;0</formula>
    </cfRule>
  </conditionalFormatting>
  <conditionalFormatting sqref="D112:E112">
    <cfRule type="cellIs" priority="419" operator="greaterThan" aboveAverage="0" equalAverage="0" bottom="0" percent="0" rank="0" text="" dxfId="423">
      <formula>0</formula>
    </cfRule>
    <cfRule type="expression" priority="420" aboveAverage="0" equalAverage="0" bottom="0" percent="0" rank="0" text="" dxfId="424">
      <formula>D111&gt;0</formula>
    </cfRule>
  </conditionalFormatting>
  <conditionalFormatting sqref="D113:E113">
    <cfRule type="cellIs" priority="421" operator="greaterThan" aboveAverage="0" equalAverage="0" bottom="0" percent="0" rank="0" text="" dxfId="425">
      <formula>0</formula>
    </cfRule>
    <cfRule type="expression" priority="422" aboveAverage="0" equalAverage="0" bottom="0" percent="0" rank="0" text="" dxfId="426">
      <formula>D112&gt;0</formula>
    </cfRule>
  </conditionalFormatting>
  <conditionalFormatting sqref="D114:E114">
    <cfRule type="cellIs" priority="423" operator="greaterThan" aboveAverage="0" equalAverage="0" bottom="0" percent="0" rank="0" text="" dxfId="427">
      <formula>0</formula>
    </cfRule>
    <cfRule type="expression" priority="424" aboveAverage="0" equalAverage="0" bottom="0" percent="0" rank="0" text="" dxfId="428">
      <formula>D113&gt;0</formula>
    </cfRule>
  </conditionalFormatting>
  <conditionalFormatting sqref="D115:E115">
    <cfRule type="cellIs" priority="425" operator="greaterThan" aboveAverage="0" equalAverage="0" bottom="0" percent="0" rank="0" text="" dxfId="429">
      <formula>0</formula>
    </cfRule>
    <cfRule type="expression" priority="426" aboveAverage="0" equalAverage="0" bottom="0" percent="0" rank="0" text="" dxfId="430">
      <formula>D114&gt;0</formula>
    </cfRule>
  </conditionalFormatting>
  <conditionalFormatting sqref="D116:E116">
    <cfRule type="cellIs" priority="427" operator="greaterThan" aboveAverage="0" equalAverage="0" bottom="0" percent="0" rank="0" text="" dxfId="431">
      <formula>0</formula>
    </cfRule>
    <cfRule type="expression" priority="428" aboveAverage="0" equalAverage="0" bottom="0" percent="0" rank="0" text="" dxfId="432">
      <formula>D115&gt;0</formula>
    </cfRule>
  </conditionalFormatting>
  <conditionalFormatting sqref="F109">
    <cfRule type="cellIs" priority="429" operator="greaterThan" aboveAverage="0" equalAverage="0" bottom="0" percent="0" rank="0" text="" dxfId="433">
      <formula>0</formula>
    </cfRule>
    <cfRule type="expression" priority="430" aboveAverage="0" equalAverage="0" bottom="0" percent="0" rank="0" text="" dxfId="434">
      <formula>F108&gt;0</formula>
    </cfRule>
  </conditionalFormatting>
  <conditionalFormatting sqref="F109">
    <cfRule type="cellIs" priority="431" operator="greaterThan" aboveAverage="0" equalAverage="0" bottom="0" percent="0" rank="0" text="" dxfId="435">
      <formula>0</formula>
    </cfRule>
    <cfRule type="expression" priority="432" aboveAverage="0" equalAverage="0" bottom="0" percent="0" rank="0" text="" dxfId="436">
      <formula>F108&gt;0</formula>
    </cfRule>
  </conditionalFormatting>
  <conditionalFormatting sqref="F110">
    <cfRule type="cellIs" priority="433" operator="greaterThan" aboveAverage="0" equalAverage="0" bottom="0" percent="0" rank="0" text="" dxfId="437">
      <formula>0</formula>
    </cfRule>
    <cfRule type="expression" priority="434" aboveAverage="0" equalAverage="0" bottom="0" percent="0" rank="0" text="" dxfId="438">
      <formula>F109&gt;0</formula>
    </cfRule>
  </conditionalFormatting>
  <conditionalFormatting sqref="F110">
    <cfRule type="cellIs" priority="435" operator="greaterThan" aboveAverage="0" equalAverage="0" bottom="0" percent="0" rank="0" text="" dxfId="439">
      <formula>0</formula>
    </cfRule>
    <cfRule type="expression" priority="436" aboveAverage="0" equalAverage="0" bottom="0" percent="0" rank="0" text="" dxfId="440">
      <formula>F109&gt;0</formula>
    </cfRule>
  </conditionalFormatting>
  <conditionalFormatting sqref="F111">
    <cfRule type="cellIs" priority="437" operator="greaterThan" aboveAverage="0" equalAverage="0" bottom="0" percent="0" rank="0" text="" dxfId="441">
      <formula>0</formula>
    </cfRule>
    <cfRule type="expression" priority="438" aboveAverage="0" equalAverage="0" bottom="0" percent="0" rank="0" text="" dxfId="442">
      <formula>F110&gt;0</formula>
    </cfRule>
  </conditionalFormatting>
  <conditionalFormatting sqref="F111">
    <cfRule type="cellIs" priority="439" operator="greaterThan" aboveAverage="0" equalAverage="0" bottom="0" percent="0" rank="0" text="" dxfId="443">
      <formula>0</formula>
    </cfRule>
    <cfRule type="expression" priority="440" aboveAverage="0" equalAverage="0" bottom="0" percent="0" rank="0" text="" dxfId="444">
      <formula>F110&gt;0</formula>
    </cfRule>
  </conditionalFormatting>
  <conditionalFormatting sqref="F112">
    <cfRule type="cellIs" priority="441" operator="greaterThan" aboveAverage="0" equalAverage="0" bottom="0" percent="0" rank="0" text="" dxfId="445">
      <formula>0</formula>
    </cfRule>
    <cfRule type="expression" priority="442" aboveAverage="0" equalAverage="0" bottom="0" percent="0" rank="0" text="" dxfId="446">
      <formula>F111&gt;0</formula>
    </cfRule>
  </conditionalFormatting>
  <conditionalFormatting sqref="F112">
    <cfRule type="cellIs" priority="443" operator="greaterThan" aboveAverage="0" equalAverage="0" bottom="0" percent="0" rank="0" text="" dxfId="447">
      <formula>0</formula>
    </cfRule>
    <cfRule type="expression" priority="444" aboveAverage="0" equalAverage="0" bottom="0" percent="0" rank="0" text="" dxfId="448">
      <formula>F111&gt;0</formula>
    </cfRule>
  </conditionalFormatting>
  <conditionalFormatting sqref="F113">
    <cfRule type="cellIs" priority="445" operator="greaterThan" aboveAverage="0" equalAverage="0" bottom="0" percent="0" rank="0" text="" dxfId="449">
      <formula>0</formula>
    </cfRule>
    <cfRule type="expression" priority="446" aboveAverage="0" equalAverage="0" bottom="0" percent="0" rank="0" text="" dxfId="450">
      <formula>F112&gt;0</formula>
    </cfRule>
  </conditionalFormatting>
  <conditionalFormatting sqref="F113">
    <cfRule type="cellIs" priority="447" operator="greaterThan" aboveAverage="0" equalAverage="0" bottom="0" percent="0" rank="0" text="" dxfId="451">
      <formula>0</formula>
    </cfRule>
    <cfRule type="expression" priority="448" aboveAverage="0" equalAverage="0" bottom="0" percent="0" rank="0" text="" dxfId="452">
      <formula>F112&gt;0</formula>
    </cfRule>
  </conditionalFormatting>
  <conditionalFormatting sqref="F114">
    <cfRule type="cellIs" priority="449" operator="greaterThan" aboveAverage="0" equalAverage="0" bottom="0" percent="0" rank="0" text="" dxfId="453">
      <formula>0</formula>
    </cfRule>
    <cfRule type="expression" priority="450" aboveAverage="0" equalAverage="0" bottom="0" percent="0" rank="0" text="" dxfId="454">
      <formula>F113&gt;0</formula>
    </cfRule>
  </conditionalFormatting>
  <conditionalFormatting sqref="F114">
    <cfRule type="cellIs" priority="451" operator="greaterThan" aboveAverage="0" equalAverage="0" bottom="0" percent="0" rank="0" text="" dxfId="455">
      <formula>0</formula>
    </cfRule>
    <cfRule type="expression" priority="452" aboveAverage="0" equalAverage="0" bottom="0" percent="0" rank="0" text="" dxfId="456">
      <formula>F113&gt;0</formula>
    </cfRule>
  </conditionalFormatting>
  <conditionalFormatting sqref="F115">
    <cfRule type="cellIs" priority="453" operator="greaterThan" aboveAverage="0" equalAverage="0" bottom="0" percent="0" rank="0" text="" dxfId="457">
      <formula>0</formula>
    </cfRule>
    <cfRule type="expression" priority="454" aboveAverage="0" equalAverage="0" bottom="0" percent="0" rank="0" text="" dxfId="458">
      <formula>F114&gt;0</formula>
    </cfRule>
  </conditionalFormatting>
  <conditionalFormatting sqref="F115">
    <cfRule type="cellIs" priority="455" operator="greaterThan" aboveAverage="0" equalAverage="0" bottom="0" percent="0" rank="0" text="" dxfId="459">
      <formula>0</formula>
    </cfRule>
    <cfRule type="expression" priority="456" aboveAverage="0" equalAverage="0" bottom="0" percent="0" rank="0" text="" dxfId="460">
      <formula>F114&gt;0</formula>
    </cfRule>
  </conditionalFormatting>
  <conditionalFormatting sqref="F116">
    <cfRule type="cellIs" priority="457" operator="greaterThan" aboveAverage="0" equalAverage="0" bottom="0" percent="0" rank="0" text="" dxfId="461">
      <formula>0</formula>
    </cfRule>
    <cfRule type="expression" priority="458" aboveAverage="0" equalAverage="0" bottom="0" percent="0" rank="0" text="" dxfId="462">
      <formula>F115&gt;0</formula>
    </cfRule>
  </conditionalFormatting>
  <conditionalFormatting sqref="F116">
    <cfRule type="cellIs" priority="459" operator="greaterThan" aboveAverage="0" equalAverage="0" bottom="0" percent="0" rank="0" text="" dxfId="463">
      <formula>0</formula>
    </cfRule>
    <cfRule type="expression" priority="460" aboveAverage="0" equalAverage="0" bottom="0" percent="0" rank="0" text="" dxfId="464">
      <formula>F115&gt;0</formula>
    </cfRule>
  </conditionalFormatting>
  <conditionalFormatting sqref="I41:J41">
    <cfRule type="cellIs" priority="461" operator="greaterThan" aboveAverage="0" equalAverage="0" bottom="0" percent="0" rank="0" text="" dxfId="465">
      <formula>0</formula>
    </cfRule>
    <cfRule type="expression" priority="462" aboveAverage="0" equalAverage="0" bottom="0" percent="0" rank="0" text="" dxfId="466">
      <formula>I40&gt;0</formula>
    </cfRule>
  </conditionalFormatting>
  <conditionalFormatting sqref="M38">
    <cfRule type="cellIs" priority="463" operator="greaterThan" aboveAverage="0" equalAverage="0" bottom="0" percent="0" rank="0" text="" dxfId="467">
      <formula>0</formula>
    </cfRule>
    <cfRule type="expression" priority="464" aboveAverage="0" equalAverage="0" bottom="0" percent="0" rank="0" text="" dxfId="468">
      <formula>M37&gt;0</formula>
    </cfRule>
  </conditionalFormatting>
  <conditionalFormatting sqref="M39">
    <cfRule type="cellIs" priority="465" operator="greaterThan" aboveAverage="0" equalAverage="0" bottom="0" percent="0" rank="0" text="" dxfId="469">
      <formula>0</formula>
    </cfRule>
    <cfRule type="expression" priority="466" aboveAverage="0" equalAverage="0" bottom="0" percent="0" rank="0" text="" dxfId="470">
      <formula>M38&gt;0</formula>
    </cfRule>
  </conditionalFormatting>
  <conditionalFormatting sqref="M40">
    <cfRule type="cellIs" priority="467" operator="greaterThan" aboveAverage="0" equalAverage="0" bottom="0" percent="0" rank="0" text="" dxfId="471">
      <formula>0</formula>
    </cfRule>
    <cfRule type="expression" priority="468" aboveAverage="0" equalAverage="0" bottom="0" percent="0" rank="0" text="" dxfId="472">
      <formula>M39&gt;0</formula>
    </cfRule>
  </conditionalFormatting>
  <conditionalFormatting sqref="M41">
    <cfRule type="cellIs" priority="469" operator="greaterThan" aboveAverage="0" equalAverage="0" bottom="0" percent="0" rank="0" text="" dxfId="473">
      <formula>0</formula>
    </cfRule>
    <cfRule type="expression" priority="470" aboveAverage="0" equalAverage="0" bottom="0" percent="0" rank="0" text="" dxfId="474">
      <formula>M40&gt;0</formula>
    </cfRule>
  </conditionalFormatting>
  <conditionalFormatting sqref="I38:J38">
    <cfRule type="cellIs" priority="471" operator="greaterThan" aboveAverage="0" equalAverage="0" bottom="0" percent="0" rank="0" text="" dxfId="475">
      <formula>0</formula>
    </cfRule>
    <cfRule type="expression" priority="472" aboveAverage="0" equalAverage="0" bottom="0" percent="0" rank="0" text="" dxfId="476">
      <formula>I37&gt;0</formula>
    </cfRule>
  </conditionalFormatting>
  <conditionalFormatting sqref="I39:J39">
    <cfRule type="cellIs" priority="473" operator="greaterThan" aboveAverage="0" equalAverage="0" bottom="0" percent="0" rank="0" text="" dxfId="477">
      <formula>0</formula>
    </cfRule>
    <cfRule type="expression" priority="474" aboveAverage="0" equalAverage="0" bottom="0" percent="0" rank="0" text="" dxfId="478">
      <formula>I38&gt;0</formula>
    </cfRule>
  </conditionalFormatting>
  <conditionalFormatting sqref="I40:J40">
    <cfRule type="cellIs" priority="475" operator="greaterThan" aboveAverage="0" equalAverage="0" bottom="0" percent="0" rank="0" text="" dxfId="479">
      <formula>0</formula>
    </cfRule>
    <cfRule type="expression" priority="476" aboveAverage="0" equalAverage="0" bottom="0" percent="0" rank="0" text="" dxfId="480">
      <formula>I39&gt;0</formula>
    </cfRule>
  </conditionalFormatting>
  <conditionalFormatting sqref="E38">
    <cfRule type="cellIs" priority="477" operator="greaterThan" aboveAverage="0" equalAverage="0" bottom="0" percent="0" rank="0" text="" dxfId="481">
      <formula>0</formula>
    </cfRule>
    <cfRule type="expression" priority="478" aboveAverage="0" equalAverage="0" bottom="0" percent="0" rank="0" text="" dxfId="482">
      <formula>E37&gt;0</formula>
    </cfRule>
  </conditionalFormatting>
  <conditionalFormatting sqref="E39">
    <cfRule type="cellIs" priority="479" operator="greaterThan" aboveAverage="0" equalAverage="0" bottom="0" percent="0" rank="0" text="" dxfId="483">
      <formula>0</formula>
    </cfRule>
    <cfRule type="expression" priority="480" aboveAverage="0" equalAverage="0" bottom="0" percent="0" rank="0" text="" dxfId="484">
      <formula>E38&gt;0</formula>
    </cfRule>
  </conditionalFormatting>
  <conditionalFormatting sqref="E40">
    <cfRule type="cellIs" priority="481" operator="greaterThan" aboveAverage="0" equalAverage="0" bottom="0" percent="0" rank="0" text="" dxfId="485">
      <formula>0</formula>
    </cfRule>
    <cfRule type="expression" priority="482" aboveAverage="0" equalAverage="0" bottom="0" percent="0" rank="0" text="" dxfId="486">
      <formula>E39&gt;0</formula>
    </cfRule>
  </conditionalFormatting>
  <conditionalFormatting sqref="E41">
    <cfRule type="cellIs" priority="483" operator="greaterThan" aboveAverage="0" equalAverage="0" bottom="0" percent="0" rank="0" text="" dxfId="487">
      <formula>0</formula>
    </cfRule>
    <cfRule type="expression" priority="484" aboveAverage="0" equalAverage="0" bottom="0" percent="0" rank="0" text="" dxfId="488">
      <formula>E40&gt;0</formula>
    </cfRule>
  </conditionalFormatting>
  <conditionalFormatting sqref="D38">
    <cfRule type="cellIs" priority="485" operator="greaterThan" aboveAverage="0" equalAverage="0" bottom="0" percent="0" rank="0" text="" dxfId="489">
      <formula>0</formula>
    </cfRule>
    <cfRule type="expression" priority="486" aboveAverage="0" equalAverage="0" bottom="0" percent="0" rank="0" text="" dxfId="490">
      <formula>D37&gt;0</formula>
    </cfRule>
  </conditionalFormatting>
  <conditionalFormatting sqref="D39">
    <cfRule type="cellIs" priority="487" operator="greaterThan" aboveAverage="0" equalAverage="0" bottom="0" percent="0" rank="0" text="" dxfId="491">
      <formula>0</formula>
    </cfRule>
    <cfRule type="expression" priority="488" aboveAverage="0" equalAverage="0" bottom="0" percent="0" rank="0" text="" dxfId="492">
      <formula>D38&gt;0</formula>
    </cfRule>
  </conditionalFormatting>
  <conditionalFormatting sqref="D40">
    <cfRule type="cellIs" priority="489" operator="greaterThan" aboveAverage="0" equalAverage="0" bottom="0" percent="0" rank="0" text="" dxfId="493">
      <formula>0</formula>
    </cfRule>
    <cfRule type="expression" priority="490" aboveAverage="0" equalAverage="0" bottom="0" percent="0" rank="0" text="" dxfId="494">
      <formula>D39&gt;0</formula>
    </cfRule>
  </conditionalFormatting>
  <conditionalFormatting sqref="D41">
    <cfRule type="cellIs" priority="491" operator="greaterThan" aboveAverage="0" equalAverage="0" bottom="0" percent="0" rank="0" text="" dxfId="495">
      <formula>0</formula>
    </cfRule>
    <cfRule type="expression" priority="492" aboveAverage="0" equalAverage="0" bottom="0" percent="0" rank="0" text="" dxfId="496">
      <formula>D40&gt;0</formula>
    </cfRule>
  </conditionalFormatting>
  <conditionalFormatting sqref="B40:C40">
    <cfRule type="cellIs" priority="493" operator="greaterThan" aboveAverage="0" equalAverage="0" bottom="0" percent="0" rank="0" text="" dxfId="497">
      <formula>0</formula>
    </cfRule>
    <cfRule type="expression" priority="494" aboveAverage="0" equalAverage="0" bottom="0" percent="0" rank="0" text="" dxfId="498">
      <formula>B39&gt;0</formula>
    </cfRule>
  </conditionalFormatting>
  <conditionalFormatting sqref="B41:C41">
    <cfRule type="cellIs" priority="495" operator="greaterThan" aboveAverage="0" equalAverage="0" bottom="0" percent="0" rank="0" text="" dxfId="499">
      <formula>0</formula>
    </cfRule>
    <cfRule type="expression" priority="496" aboveAverage="0" equalAverage="0" bottom="0" percent="0" rank="0" text="" dxfId="500">
      <formula>B40&gt;0</formula>
    </cfRule>
  </conditionalFormatting>
  <conditionalFormatting sqref="B42:C42">
    <cfRule type="cellIs" priority="497" operator="greaterThan" aboveAverage="0" equalAverage="0" bottom="0" percent="0" rank="0" text="" dxfId="501">
      <formula>0</formula>
    </cfRule>
    <cfRule type="expression" priority="498" aboveAverage="0" equalAverage="0" bottom="0" percent="0" rank="0" text="" dxfId="502">
      <formula>B41&gt;0</formula>
    </cfRule>
  </conditionalFormatting>
  <conditionalFormatting sqref="I73:J73">
    <cfRule type="cellIs" priority="499" operator="greaterThan" aboveAverage="0" equalAverage="0" bottom="0" percent="0" rank="0" text="" dxfId="503">
      <formula>0</formula>
    </cfRule>
    <cfRule type="expression" priority="500" aboveAverage="0" equalAverage="0" bottom="0" percent="0" rank="0" text="" dxfId="504">
      <formula>I72&gt;0</formula>
    </cfRule>
  </conditionalFormatting>
  <conditionalFormatting sqref="I74:J74">
    <cfRule type="cellIs" priority="501" operator="greaterThan" aboveAverage="0" equalAverage="0" bottom="0" percent="0" rank="0" text="" dxfId="505">
      <formula>0</formula>
    </cfRule>
    <cfRule type="expression" priority="502" aboveAverage="0" equalAverage="0" bottom="0" percent="0" rank="0" text="" dxfId="506">
      <formula>I73&gt;0</formula>
    </cfRule>
  </conditionalFormatting>
  <conditionalFormatting sqref="I75:J75">
    <cfRule type="cellIs" priority="503" operator="greaterThan" aboveAverage="0" equalAverage="0" bottom="0" percent="0" rank="0" text="" dxfId="507">
      <formula>0</formula>
    </cfRule>
    <cfRule type="expression" priority="504" aboveAverage="0" equalAverage="0" bottom="0" percent="0" rank="0" text="" dxfId="508">
      <formula>I74&gt;0</formula>
    </cfRule>
  </conditionalFormatting>
  <conditionalFormatting sqref="I76:J76">
    <cfRule type="cellIs" priority="505" operator="greaterThan" aboveAverage="0" equalAverage="0" bottom="0" percent="0" rank="0" text="" dxfId="509">
      <formula>0</formula>
    </cfRule>
    <cfRule type="expression" priority="506" aboveAverage="0" equalAverage="0" bottom="0" percent="0" rank="0" text="" dxfId="510">
      <formula>I75&gt;0</formula>
    </cfRule>
  </conditionalFormatting>
  <conditionalFormatting sqref="I77:J77">
    <cfRule type="cellIs" priority="507" operator="greaterThan" aboveAverage="0" equalAverage="0" bottom="0" percent="0" rank="0" text="" dxfId="511">
      <formula>0</formula>
    </cfRule>
    <cfRule type="expression" priority="508" aboveAverage="0" equalAverage="0" bottom="0" percent="0" rank="0" text="" dxfId="512">
      <formula>I76&gt;0</formula>
    </cfRule>
  </conditionalFormatting>
  <conditionalFormatting sqref="I78:J78">
    <cfRule type="cellIs" priority="509" operator="greaterThan" aboveAverage="0" equalAverage="0" bottom="0" percent="0" rank="0" text="" dxfId="513">
      <formula>0</formula>
    </cfRule>
    <cfRule type="expression" priority="510" aboveAverage="0" equalAverage="0" bottom="0" percent="0" rank="0" text="" dxfId="514">
      <formula>I77&gt;0</formula>
    </cfRule>
  </conditionalFormatting>
  <conditionalFormatting sqref="I79:J79">
    <cfRule type="cellIs" priority="511" operator="greaterThan" aboveAverage="0" equalAverage="0" bottom="0" percent="0" rank="0" text="" dxfId="515">
      <formula>0</formula>
    </cfRule>
    <cfRule type="expression" priority="512" aboveAverage="0" equalAverage="0" bottom="0" percent="0" rank="0" text="" dxfId="516">
      <formula>I78&gt;0</formula>
    </cfRule>
  </conditionalFormatting>
  <conditionalFormatting sqref="I80:J80">
    <cfRule type="cellIs" priority="513" operator="greaterThan" aboveAverage="0" equalAverage="0" bottom="0" percent="0" rank="0" text="" dxfId="517">
      <formula>0</formula>
    </cfRule>
    <cfRule type="expression" priority="514" aboveAverage="0" equalAverage="0" bottom="0" percent="0" rank="0" text="" dxfId="518">
      <formula>I79&gt;0</formula>
    </cfRule>
  </conditionalFormatting>
  <conditionalFormatting sqref="H73">
    <cfRule type="cellIs" priority="515" operator="greaterThan" aboveAverage="0" equalAverage="0" bottom="0" percent="0" rank="0" text="" dxfId="519">
      <formula>0</formula>
    </cfRule>
    <cfRule type="expression" priority="516" aboveAverage="0" equalAverage="0" bottom="0" percent="0" rank="0" text="" dxfId="520">
      <formula>H72&gt;0</formula>
    </cfRule>
  </conditionalFormatting>
  <conditionalFormatting sqref="H74">
    <cfRule type="cellIs" priority="517" operator="greaterThan" aboveAverage="0" equalAverage="0" bottom="0" percent="0" rank="0" text="" dxfId="521">
      <formula>0</formula>
    </cfRule>
    <cfRule type="expression" priority="518" aboveAverage="0" equalAverage="0" bottom="0" percent="0" rank="0" text="" dxfId="522">
      <formula>H73&gt;0</formula>
    </cfRule>
  </conditionalFormatting>
  <conditionalFormatting sqref="H75">
    <cfRule type="cellIs" priority="519" operator="greaterThan" aboveAverage="0" equalAverage="0" bottom="0" percent="0" rank="0" text="" dxfId="523">
      <formula>0</formula>
    </cfRule>
    <cfRule type="expression" priority="520" aboveAverage="0" equalAverage="0" bottom="0" percent="0" rank="0" text="" dxfId="524">
      <formula>H74&gt;0</formula>
    </cfRule>
  </conditionalFormatting>
  <conditionalFormatting sqref="H76">
    <cfRule type="cellIs" priority="521" operator="greaterThan" aboveAverage="0" equalAverage="0" bottom="0" percent="0" rank="0" text="" dxfId="525">
      <formula>0</formula>
    </cfRule>
    <cfRule type="expression" priority="522" aboveAverage="0" equalAverage="0" bottom="0" percent="0" rank="0" text="" dxfId="526">
      <formula>H75&gt;0</formula>
    </cfRule>
  </conditionalFormatting>
  <conditionalFormatting sqref="H77">
    <cfRule type="cellIs" priority="523" operator="greaterThan" aboveAverage="0" equalAverage="0" bottom="0" percent="0" rank="0" text="" dxfId="527">
      <formula>0</formula>
    </cfRule>
    <cfRule type="expression" priority="524" aboveAverage="0" equalAverage="0" bottom="0" percent="0" rank="0" text="" dxfId="528">
      <formula>H76&gt;0</formula>
    </cfRule>
  </conditionalFormatting>
  <conditionalFormatting sqref="H78">
    <cfRule type="cellIs" priority="525" operator="greaterThan" aboveAverage="0" equalAverage="0" bottom="0" percent="0" rank="0" text="" dxfId="529">
      <formula>0</formula>
    </cfRule>
    <cfRule type="expression" priority="526" aboveAverage="0" equalAverage="0" bottom="0" percent="0" rank="0" text="" dxfId="530">
      <formula>H77&gt;0</formula>
    </cfRule>
  </conditionalFormatting>
  <conditionalFormatting sqref="H79">
    <cfRule type="cellIs" priority="527" operator="greaterThan" aboveAverage="0" equalAverage="0" bottom="0" percent="0" rank="0" text="" dxfId="531">
      <formula>0</formula>
    </cfRule>
    <cfRule type="expression" priority="528" aboveAverage="0" equalAverage="0" bottom="0" percent="0" rank="0" text="" dxfId="532">
      <formula>H78&gt;0</formula>
    </cfRule>
  </conditionalFormatting>
  <conditionalFormatting sqref="H80">
    <cfRule type="cellIs" priority="529" operator="greaterThan" aboveAverage="0" equalAverage="0" bottom="0" percent="0" rank="0" text="" dxfId="533">
      <formula>0</formula>
    </cfRule>
    <cfRule type="expression" priority="530" aboveAverage="0" equalAverage="0" bottom="0" percent="0" rank="0" text="" dxfId="534">
      <formula>H79&gt;0</formula>
    </cfRule>
  </conditionalFormatting>
  <conditionalFormatting sqref="F64:G80">
    <cfRule type="dataBar" priority="531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{C5DF77AF-80A6-46AF-92B9-86669440762B}</x14:id>
        </ext>
      </extLst>
    </cfRule>
  </conditionalFormatting>
  <conditionalFormatting sqref="D43">
    <cfRule type="cellIs" priority="532" operator="greaterThan" aboveAverage="0" equalAverage="0" bottom="0" percent="0" rank="0" text="" dxfId="535">
      <formula>0</formula>
    </cfRule>
    <cfRule type="expression" priority="533" aboveAverage="0" equalAverage="0" bottom="0" percent="0" rank="0" text="" dxfId="536">
      <formula>D42&gt;0</formula>
    </cfRule>
  </conditionalFormatting>
  <conditionalFormatting sqref="E74">
    <cfRule type="cellIs" priority="534" operator="greaterThan" aboveAverage="0" equalAverage="0" bottom="0" percent="0" rank="0" text="" dxfId="537">
      <formula>0</formula>
    </cfRule>
    <cfRule type="expression" priority="535" aboveAverage="0" equalAverage="0" bottom="0" percent="0" rank="0" text="" dxfId="538">
      <formula>E73&gt;0</formula>
    </cfRule>
  </conditionalFormatting>
  <conditionalFormatting sqref="E75">
    <cfRule type="cellIs" priority="536" operator="greaterThan" aboveAverage="0" equalAverage="0" bottom="0" percent="0" rank="0" text="" dxfId="539">
      <formula>0</formula>
    </cfRule>
    <cfRule type="expression" priority="537" aboveAverage="0" equalAverage="0" bottom="0" percent="0" rank="0" text="" dxfId="540">
      <formula>E74&gt;0</formula>
    </cfRule>
  </conditionalFormatting>
  <conditionalFormatting sqref="E76">
    <cfRule type="cellIs" priority="538" operator="greaterThan" aboveAverage="0" equalAverage="0" bottom="0" percent="0" rank="0" text="" dxfId="541">
      <formula>0</formula>
    </cfRule>
    <cfRule type="expression" priority="539" aboveAverage="0" equalAverage="0" bottom="0" percent="0" rank="0" text="" dxfId="542">
      <formula>E75&gt;0</formula>
    </cfRule>
  </conditionalFormatting>
  <conditionalFormatting sqref="E77">
    <cfRule type="cellIs" priority="540" operator="greaterThan" aboveAverage="0" equalAverage="0" bottom="0" percent="0" rank="0" text="" dxfId="543">
      <formula>0</formula>
    </cfRule>
    <cfRule type="expression" priority="541" aboveAverage="0" equalAverage="0" bottom="0" percent="0" rank="0" text="" dxfId="544">
      <formula>E76&gt;0</formula>
    </cfRule>
  </conditionalFormatting>
  <conditionalFormatting sqref="E78">
    <cfRule type="cellIs" priority="542" operator="greaterThan" aboveAverage="0" equalAverage="0" bottom="0" percent="0" rank="0" text="" dxfId="545">
      <formula>0</formula>
    </cfRule>
    <cfRule type="expression" priority="543" aboveAverage="0" equalAverage="0" bottom="0" percent="0" rank="0" text="" dxfId="546">
      <formula>E77&gt;0</formula>
    </cfRule>
  </conditionalFormatting>
  <conditionalFormatting sqref="E79">
    <cfRule type="cellIs" priority="544" operator="greaterThan" aboveAverage="0" equalAverage="0" bottom="0" percent="0" rank="0" text="" dxfId="547">
      <formula>0</formula>
    </cfRule>
    <cfRule type="expression" priority="545" aboveAverage="0" equalAverage="0" bottom="0" percent="0" rank="0" text="" dxfId="548">
      <formula>E78&gt;0</formula>
    </cfRule>
  </conditionalFormatting>
  <conditionalFormatting sqref="E80">
    <cfRule type="cellIs" priority="546" operator="greaterThan" aboveAverage="0" equalAverage="0" bottom="0" percent="0" rank="0" text="" dxfId="549">
      <formula>0</formula>
    </cfRule>
    <cfRule type="expression" priority="547" aboveAverage="0" equalAverage="0" bottom="0" percent="0" rank="0" text="" dxfId="550">
      <formula>E79&gt;0</formula>
    </cfRule>
  </conditionalFormatting>
  <conditionalFormatting sqref="D73">
    <cfRule type="cellIs" priority="548" operator="greaterThan" aboveAverage="0" equalAverage="0" bottom="0" percent="0" rank="0" text="" dxfId="551">
      <formula>0</formula>
    </cfRule>
    <cfRule type="expression" priority="549" aboveAverage="0" equalAverage="0" bottom="0" percent="0" rank="0" text="" dxfId="552">
      <formula>D72&gt;0</formula>
    </cfRule>
  </conditionalFormatting>
  <conditionalFormatting sqref="D74">
    <cfRule type="cellIs" priority="550" operator="greaterThan" aboveAverage="0" equalAverage="0" bottom="0" percent="0" rank="0" text="" dxfId="553">
      <formula>0</formula>
    </cfRule>
    <cfRule type="expression" priority="551" aboveAverage="0" equalAverage="0" bottom="0" percent="0" rank="0" text="" dxfId="554">
      <formula>D73&gt;0</formula>
    </cfRule>
  </conditionalFormatting>
  <conditionalFormatting sqref="D75">
    <cfRule type="cellIs" priority="552" operator="greaterThan" aboveAverage="0" equalAverage="0" bottom="0" percent="0" rank="0" text="" dxfId="555">
      <formula>0</formula>
    </cfRule>
    <cfRule type="expression" priority="553" aboveAverage="0" equalAverage="0" bottom="0" percent="0" rank="0" text="" dxfId="556">
      <formula>D74&gt;0</formula>
    </cfRule>
  </conditionalFormatting>
  <conditionalFormatting sqref="D76">
    <cfRule type="cellIs" priority="554" operator="greaterThan" aboveAverage="0" equalAverage="0" bottom="0" percent="0" rank="0" text="" dxfId="557">
      <formula>0</formula>
    </cfRule>
    <cfRule type="expression" priority="555" aboveAverage="0" equalAverage="0" bottom="0" percent="0" rank="0" text="" dxfId="558">
      <formula>D75&gt;0</formula>
    </cfRule>
  </conditionalFormatting>
  <conditionalFormatting sqref="D77">
    <cfRule type="cellIs" priority="556" operator="greaterThan" aboveAverage="0" equalAverage="0" bottom="0" percent="0" rank="0" text="" dxfId="559">
      <formula>0</formula>
    </cfRule>
    <cfRule type="expression" priority="557" aboveAverage="0" equalAverage="0" bottom="0" percent="0" rank="0" text="" dxfId="560">
      <formula>D76&gt;0</formula>
    </cfRule>
  </conditionalFormatting>
  <conditionalFormatting sqref="D78">
    <cfRule type="cellIs" priority="558" operator="greaterThan" aboveAverage="0" equalAverage="0" bottom="0" percent="0" rank="0" text="" dxfId="561">
      <formula>0</formula>
    </cfRule>
    <cfRule type="expression" priority="559" aboveAverage="0" equalAverage="0" bottom="0" percent="0" rank="0" text="" dxfId="562">
      <formula>D77&gt;0</formula>
    </cfRule>
  </conditionalFormatting>
  <conditionalFormatting sqref="D79">
    <cfRule type="cellIs" priority="560" operator="greaterThan" aboveAverage="0" equalAverage="0" bottom="0" percent="0" rank="0" text="" dxfId="563">
      <formula>0</formula>
    </cfRule>
    <cfRule type="expression" priority="561" aboveAverage="0" equalAverage="0" bottom="0" percent="0" rank="0" text="" dxfId="564">
      <formula>D78&gt;0</formula>
    </cfRule>
  </conditionalFormatting>
  <conditionalFormatting sqref="D80">
    <cfRule type="cellIs" priority="562" operator="greaterThan" aboveAverage="0" equalAverage="0" bottom="0" percent="0" rank="0" text="" dxfId="565">
      <formula>0</formula>
    </cfRule>
    <cfRule type="expression" priority="563" aboveAverage="0" equalAverage="0" bottom="0" percent="0" rank="0" text="" dxfId="566">
      <formula>D79&gt;0</formula>
    </cfRule>
  </conditionalFormatting>
  <conditionalFormatting sqref="B79:C79">
    <cfRule type="cellIs" priority="564" operator="greaterThan" aboveAverage="0" equalAverage="0" bottom="0" percent="0" rank="0" text="" dxfId="567">
      <formula>0</formula>
    </cfRule>
    <cfRule type="expression" priority="565" aboveAverage="0" equalAverage="0" bottom="0" percent="0" rank="0" text="" dxfId="568">
      <formula>B78&gt;0</formula>
    </cfRule>
  </conditionalFormatting>
  <conditionalFormatting sqref="B73:C73">
    <cfRule type="cellIs" priority="566" operator="greaterThan" aboveAverage="0" equalAverage="0" bottom="0" percent="0" rank="0" text="" dxfId="569">
      <formula>0</formula>
    </cfRule>
    <cfRule type="expression" priority="567" aboveAverage="0" equalAverage="0" bottom="0" percent="0" rank="0" text="" dxfId="570">
      <formula>B72&gt;0</formula>
    </cfRule>
  </conditionalFormatting>
  <conditionalFormatting sqref="B74:C74">
    <cfRule type="cellIs" priority="568" operator="greaterThan" aboveAverage="0" equalAverage="0" bottom="0" percent="0" rank="0" text="" dxfId="571">
      <formula>0</formula>
    </cfRule>
    <cfRule type="expression" priority="569" aboveAverage="0" equalAverage="0" bottom="0" percent="0" rank="0" text="" dxfId="572">
      <formula>B73&gt;0</formula>
    </cfRule>
  </conditionalFormatting>
  <conditionalFormatting sqref="B75:C75">
    <cfRule type="cellIs" priority="570" operator="greaterThan" aboveAverage="0" equalAverage="0" bottom="0" percent="0" rank="0" text="" dxfId="573">
      <formula>0</formula>
    </cfRule>
    <cfRule type="expression" priority="571" aboveAverage="0" equalAverage="0" bottom="0" percent="0" rank="0" text="" dxfId="574">
      <formula>B74&gt;0</formula>
    </cfRule>
  </conditionalFormatting>
  <conditionalFormatting sqref="B76:C76">
    <cfRule type="cellIs" priority="572" operator="greaterThan" aboveAverage="0" equalAverage="0" bottom="0" percent="0" rank="0" text="" dxfId="575">
      <formula>0</formula>
    </cfRule>
    <cfRule type="expression" priority="573" aboveAverage="0" equalAverage="0" bottom="0" percent="0" rank="0" text="" dxfId="576">
      <formula>B75&gt;0</formula>
    </cfRule>
  </conditionalFormatting>
  <conditionalFormatting sqref="B77:C77">
    <cfRule type="cellIs" priority="574" operator="greaterThan" aboveAverage="0" equalAverage="0" bottom="0" percent="0" rank="0" text="" dxfId="577">
      <formula>0</formula>
    </cfRule>
    <cfRule type="expression" priority="575" aboveAverage="0" equalAverage="0" bottom="0" percent="0" rank="0" text="" dxfId="578">
      <formula>B76&gt;0</formula>
    </cfRule>
  </conditionalFormatting>
  <conditionalFormatting sqref="B78:C78">
    <cfRule type="cellIs" priority="576" operator="greaterThan" aboveAverage="0" equalAverage="0" bottom="0" percent="0" rank="0" text="" dxfId="579">
      <formula>0</formula>
    </cfRule>
    <cfRule type="expression" priority="577" aboveAverage="0" equalAverage="0" bottom="0" percent="0" rank="0" text="" dxfId="580">
      <formula>B77&gt;0</formula>
    </cfRule>
  </conditionalFormatting>
  <conditionalFormatting sqref="B45:C45">
    <cfRule type="cellIs" priority="578" operator="greaterThan" aboveAverage="0" equalAverage="0" bottom="0" percent="0" rank="0" text="" dxfId="581">
      <formula>0</formula>
    </cfRule>
    <cfRule type="expression" priority="579" aboveAverage="0" equalAverage="0" bottom="0" percent="0" rank="0" text="" dxfId="582">
      <formula>B44&gt;0</formula>
    </cfRule>
  </conditionalFormatting>
  <conditionalFormatting sqref="B46:C46">
    <cfRule type="cellIs" priority="580" operator="greaterThan" aboveAverage="0" equalAverage="0" bottom="0" percent="0" rank="0" text="" dxfId="583">
      <formula>0</formula>
    </cfRule>
    <cfRule type="expression" priority="581" aboveAverage="0" equalAverage="0" bottom="0" percent="0" rank="0" text="" dxfId="584">
      <formula>B45&gt;0</formula>
    </cfRule>
  </conditionalFormatting>
  <conditionalFormatting sqref="B47:C47">
    <cfRule type="cellIs" priority="582" operator="greaterThan" aboveAverage="0" equalAverage="0" bottom="0" percent="0" rank="0" text="" dxfId="585">
      <formula>0</formula>
    </cfRule>
    <cfRule type="expression" priority="583" aboveAverage="0" equalAverage="0" bottom="0" percent="0" rank="0" text="" dxfId="586">
      <formula>B46&gt;0</formula>
    </cfRule>
  </conditionalFormatting>
  <conditionalFormatting sqref="B48:C48">
    <cfRule type="cellIs" priority="584" operator="greaterThan" aboveAverage="0" equalAverage="0" bottom="0" percent="0" rank="0" text="" dxfId="587">
      <formula>0</formula>
    </cfRule>
    <cfRule type="expression" priority="585" aboveAverage="0" equalAverage="0" bottom="0" percent="0" rank="0" text="" dxfId="588">
      <formula>B47&gt;0</formula>
    </cfRule>
  </conditionalFormatting>
  <conditionalFormatting sqref="B49:C49">
    <cfRule type="cellIs" priority="586" operator="greaterThan" aboveAverage="0" equalAverage="0" bottom="0" percent="0" rank="0" text="" dxfId="589">
      <formula>0</formula>
    </cfRule>
    <cfRule type="expression" priority="587" aboveAverage="0" equalAverage="0" bottom="0" percent="0" rank="0" text="" dxfId="590">
      <formula>B48&gt;0</formula>
    </cfRule>
  </conditionalFormatting>
  <conditionalFormatting sqref="B50:C50">
    <cfRule type="cellIs" priority="588" operator="greaterThan" aboveAverage="0" equalAverage="0" bottom="0" percent="0" rank="0" text="" dxfId="591">
      <formula>0</formula>
    </cfRule>
    <cfRule type="expression" priority="589" aboveAverage="0" equalAverage="0" bottom="0" percent="0" rank="0" text="" dxfId="592">
      <formula>B49&gt;0</formula>
    </cfRule>
  </conditionalFormatting>
  <conditionalFormatting sqref="B51:C51">
    <cfRule type="cellIs" priority="590" operator="greaterThan" aboveAverage="0" equalAverage="0" bottom="0" percent="0" rank="0" text="" dxfId="593">
      <formula>0</formula>
    </cfRule>
    <cfRule type="expression" priority="591" aboveAverage="0" equalAverage="0" bottom="0" percent="0" rank="0" text="" dxfId="594">
      <formula>B50&gt;0</formula>
    </cfRule>
  </conditionalFormatting>
  <conditionalFormatting sqref="B52:C52">
    <cfRule type="cellIs" priority="592" operator="greaterThan" aboveAverage="0" equalAverage="0" bottom="0" percent="0" rank="0" text="" dxfId="595">
      <formula>0</formula>
    </cfRule>
    <cfRule type="expression" priority="593" aboveAverage="0" equalAverage="0" bottom="0" percent="0" rank="0" text="" dxfId="596">
      <formula>B51&gt;0</formula>
    </cfRule>
  </conditionalFormatting>
  <conditionalFormatting sqref="B53:C53">
    <cfRule type="cellIs" priority="594" operator="greaterThan" aboveAverage="0" equalAverage="0" bottom="0" percent="0" rank="0" text="" dxfId="597">
      <formula>0</formula>
    </cfRule>
    <cfRule type="expression" priority="595" aboveAverage="0" equalAverage="0" bottom="0" percent="0" rank="0" text="" dxfId="598">
      <formula>B52&gt;0</formula>
    </cfRule>
  </conditionalFormatting>
  <conditionalFormatting sqref="B54:C54">
    <cfRule type="cellIs" priority="596" operator="greaterThan" aboveAverage="0" equalAverage="0" bottom="0" percent="0" rank="0" text="" dxfId="599">
      <formula>0</formula>
    </cfRule>
    <cfRule type="expression" priority="597" aboveAverage="0" equalAverage="0" bottom="0" percent="0" rank="0" text="" dxfId="600">
      <formula>B53&gt;0</formula>
    </cfRule>
  </conditionalFormatting>
  <conditionalFormatting sqref="B55:C55">
    <cfRule type="cellIs" priority="598" operator="greaterThan" aboveAverage="0" equalAverage="0" bottom="0" percent="0" rank="0" text="" dxfId="601">
      <formula>0</formula>
    </cfRule>
    <cfRule type="expression" priority="599" aboveAverage="0" equalAverage="0" bottom="0" percent="0" rank="0" text="" dxfId="602">
      <formula>B54&gt;0</formula>
    </cfRule>
  </conditionalFormatting>
  <conditionalFormatting sqref="D42">
    <cfRule type="cellIs" priority="600" operator="greaterThan" aboveAverage="0" equalAverage="0" bottom="0" percent="0" rank="0" text="" dxfId="603">
      <formula>0</formula>
    </cfRule>
    <cfRule type="expression" priority="601" aboveAverage="0" equalAverage="0" bottom="0" percent="0" rank="0" text="" dxfId="604">
      <formula>D41&gt;0</formula>
    </cfRule>
  </conditionalFormatting>
  <conditionalFormatting sqref="D44">
    <cfRule type="cellIs" priority="602" operator="greaterThan" aboveAverage="0" equalAverage="0" bottom="0" percent="0" rank="0" text="" dxfId="605">
      <formula>0</formula>
    </cfRule>
    <cfRule type="expression" priority="603" aboveAverage="0" equalAverage="0" bottom="0" percent="0" rank="0" text="" dxfId="606">
      <formula>D43&gt;0</formula>
    </cfRule>
  </conditionalFormatting>
  <conditionalFormatting sqref="D45">
    <cfRule type="cellIs" priority="604" operator="greaterThan" aboveAverage="0" equalAverage="0" bottom="0" percent="0" rank="0" text="" dxfId="607">
      <formula>0</formula>
    </cfRule>
    <cfRule type="expression" priority="605" aboveAverage="0" equalAverage="0" bottom="0" percent="0" rank="0" text="" dxfId="608">
      <formula>D44&gt;0</formula>
    </cfRule>
  </conditionalFormatting>
  <conditionalFormatting sqref="D46">
    <cfRule type="cellIs" priority="606" operator="greaterThan" aboveAverage="0" equalAverage="0" bottom="0" percent="0" rank="0" text="" dxfId="609">
      <formula>0</formula>
    </cfRule>
    <cfRule type="expression" priority="607" aboveAverage="0" equalAverage="0" bottom="0" percent="0" rank="0" text="" dxfId="610">
      <formula>D45&gt;0</formula>
    </cfRule>
  </conditionalFormatting>
  <conditionalFormatting sqref="D47">
    <cfRule type="cellIs" priority="608" operator="greaterThan" aboveAverage="0" equalAverage="0" bottom="0" percent="0" rank="0" text="" dxfId="611">
      <formula>0</formula>
    </cfRule>
    <cfRule type="expression" priority="609" aboveAverage="0" equalAverage="0" bottom="0" percent="0" rank="0" text="" dxfId="612">
      <formula>D46&gt;0</formula>
    </cfRule>
  </conditionalFormatting>
  <conditionalFormatting sqref="D48">
    <cfRule type="cellIs" priority="610" operator="greaterThan" aboveAverage="0" equalAverage="0" bottom="0" percent="0" rank="0" text="" dxfId="613">
      <formula>0</formula>
    </cfRule>
    <cfRule type="expression" priority="611" aboveAverage="0" equalAverage="0" bottom="0" percent="0" rank="0" text="" dxfId="614">
      <formula>D47&gt;0</formula>
    </cfRule>
  </conditionalFormatting>
  <conditionalFormatting sqref="D49">
    <cfRule type="cellIs" priority="612" operator="greaterThan" aboveAverage="0" equalAverage="0" bottom="0" percent="0" rank="0" text="" dxfId="615">
      <formula>0</formula>
    </cfRule>
    <cfRule type="expression" priority="613" aboveAverage="0" equalAverage="0" bottom="0" percent="0" rank="0" text="" dxfId="616">
      <formula>D48&gt;0</formula>
    </cfRule>
  </conditionalFormatting>
  <conditionalFormatting sqref="D50">
    <cfRule type="cellIs" priority="614" operator="greaterThan" aboveAverage="0" equalAverage="0" bottom="0" percent="0" rank="0" text="" dxfId="617">
      <formula>0</formula>
    </cfRule>
    <cfRule type="expression" priority="615" aboveAverage="0" equalAverage="0" bottom="0" percent="0" rank="0" text="" dxfId="618">
      <formula>D49&gt;0</formula>
    </cfRule>
  </conditionalFormatting>
  <conditionalFormatting sqref="D51">
    <cfRule type="cellIs" priority="616" operator="greaterThan" aboveAverage="0" equalAverage="0" bottom="0" percent="0" rank="0" text="" dxfId="619">
      <formula>0</formula>
    </cfRule>
    <cfRule type="expression" priority="617" aboveAverage="0" equalAverage="0" bottom="0" percent="0" rank="0" text="" dxfId="620">
      <formula>D50&gt;0</formula>
    </cfRule>
  </conditionalFormatting>
  <conditionalFormatting sqref="D52">
    <cfRule type="cellIs" priority="618" operator="greaterThan" aboveAverage="0" equalAverage="0" bottom="0" percent="0" rank="0" text="" dxfId="621">
      <formula>0</formula>
    </cfRule>
    <cfRule type="expression" priority="619" aboveAverage="0" equalAverage="0" bottom="0" percent="0" rank="0" text="" dxfId="622">
      <formula>D51&gt;0</formula>
    </cfRule>
  </conditionalFormatting>
  <conditionalFormatting sqref="D53">
    <cfRule type="cellIs" priority="620" operator="greaterThan" aboveAverage="0" equalAverage="0" bottom="0" percent="0" rank="0" text="" dxfId="623">
      <formula>0</formula>
    </cfRule>
    <cfRule type="expression" priority="621" aboveAverage="0" equalAverage="0" bottom="0" percent="0" rank="0" text="" dxfId="624">
      <formula>D52&gt;0</formula>
    </cfRule>
  </conditionalFormatting>
  <conditionalFormatting sqref="D54">
    <cfRule type="cellIs" priority="622" operator="greaterThan" aboveAverage="0" equalAverage="0" bottom="0" percent="0" rank="0" text="" dxfId="625">
      <formula>0</formula>
    </cfRule>
    <cfRule type="expression" priority="623" aboveAverage="0" equalAverage="0" bottom="0" percent="0" rank="0" text="" dxfId="626">
      <formula>D53&gt;0</formula>
    </cfRule>
  </conditionalFormatting>
  <conditionalFormatting sqref="D55">
    <cfRule type="cellIs" priority="624" operator="greaterThan" aboveAverage="0" equalAverage="0" bottom="0" percent="0" rank="0" text="" dxfId="627">
      <formula>0</formula>
    </cfRule>
    <cfRule type="expression" priority="625" aboveAverage="0" equalAverage="0" bottom="0" percent="0" rank="0" text="" dxfId="628">
      <formula>D54&gt;0</formula>
    </cfRule>
  </conditionalFormatting>
  <conditionalFormatting sqref="E42">
    <cfRule type="cellIs" priority="626" operator="greaterThan" aboveAverage="0" equalAverage="0" bottom="0" percent="0" rank="0" text="" dxfId="629">
      <formula>0</formula>
    </cfRule>
    <cfRule type="expression" priority="627" aboveAverage="0" equalAverage="0" bottom="0" percent="0" rank="0" text="" dxfId="630">
      <formula>E41&gt;0</formula>
    </cfRule>
  </conditionalFormatting>
  <conditionalFormatting sqref="E43">
    <cfRule type="cellIs" priority="628" operator="greaterThan" aboveAverage="0" equalAverage="0" bottom="0" percent="0" rank="0" text="" dxfId="631">
      <formula>0</formula>
    </cfRule>
    <cfRule type="expression" priority="629" aboveAverage="0" equalAverage="0" bottom="0" percent="0" rank="0" text="" dxfId="632">
      <formula>E42&gt;0</formula>
    </cfRule>
  </conditionalFormatting>
  <conditionalFormatting sqref="E44">
    <cfRule type="cellIs" priority="630" operator="greaterThan" aboveAverage="0" equalAverage="0" bottom="0" percent="0" rank="0" text="" dxfId="633">
      <formula>0</formula>
    </cfRule>
    <cfRule type="expression" priority="631" aboveAverage="0" equalAverage="0" bottom="0" percent="0" rank="0" text="" dxfId="634">
      <formula>E43&gt;0</formula>
    </cfRule>
  </conditionalFormatting>
  <conditionalFormatting sqref="E45">
    <cfRule type="cellIs" priority="632" operator="greaterThan" aboveAverage="0" equalAverage="0" bottom="0" percent="0" rank="0" text="" dxfId="635">
      <formula>0</formula>
    </cfRule>
    <cfRule type="expression" priority="633" aboveAverage="0" equalAverage="0" bottom="0" percent="0" rank="0" text="" dxfId="636">
      <formula>E44&gt;0</formula>
    </cfRule>
  </conditionalFormatting>
  <conditionalFormatting sqref="E46">
    <cfRule type="cellIs" priority="634" operator="greaterThan" aboveAverage="0" equalAverage="0" bottom="0" percent="0" rank="0" text="" dxfId="637">
      <formula>0</formula>
    </cfRule>
    <cfRule type="expression" priority="635" aboveAverage="0" equalAverage="0" bottom="0" percent="0" rank="0" text="" dxfId="638">
      <formula>E45&gt;0</formula>
    </cfRule>
  </conditionalFormatting>
  <conditionalFormatting sqref="E47">
    <cfRule type="cellIs" priority="636" operator="greaterThan" aboveAverage="0" equalAverage="0" bottom="0" percent="0" rank="0" text="" dxfId="639">
      <formula>0</formula>
    </cfRule>
    <cfRule type="expression" priority="637" aboveAverage="0" equalAverage="0" bottom="0" percent="0" rank="0" text="" dxfId="640">
      <formula>E46&gt;0</formula>
    </cfRule>
  </conditionalFormatting>
  <conditionalFormatting sqref="E48">
    <cfRule type="cellIs" priority="638" operator="greaterThan" aboveAverage="0" equalAverage="0" bottom="0" percent="0" rank="0" text="" dxfId="641">
      <formula>0</formula>
    </cfRule>
    <cfRule type="expression" priority="639" aboveAverage="0" equalAverage="0" bottom="0" percent="0" rank="0" text="" dxfId="642">
      <formula>E47&gt;0</formula>
    </cfRule>
  </conditionalFormatting>
  <conditionalFormatting sqref="E49">
    <cfRule type="cellIs" priority="640" operator="greaterThan" aboveAverage="0" equalAverage="0" bottom="0" percent="0" rank="0" text="" dxfId="643">
      <formula>0</formula>
    </cfRule>
    <cfRule type="expression" priority="641" aboveAverage="0" equalAverage="0" bottom="0" percent="0" rank="0" text="" dxfId="644">
      <formula>E48&gt;0</formula>
    </cfRule>
  </conditionalFormatting>
  <conditionalFormatting sqref="E50">
    <cfRule type="cellIs" priority="642" operator="greaterThan" aboveAverage="0" equalAverage="0" bottom="0" percent="0" rank="0" text="" dxfId="645">
      <formula>0</formula>
    </cfRule>
    <cfRule type="expression" priority="643" aboveAverage="0" equalAverage="0" bottom="0" percent="0" rank="0" text="" dxfId="646">
      <formula>E49&gt;0</formula>
    </cfRule>
  </conditionalFormatting>
  <conditionalFormatting sqref="E51">
    <cfRule type="cellIs" priority="644" operator="greaterThan" aboveAverage="0" equalAverage="0" bottom="0" percent="0" rank="0" text="" dxfId="647">
      <formula>0</formula>
    </cfRule>
    <cfRule type="expression" priority="645" aboveAverage="0" equalAverage="0" bottom="0" percent="0" rank="0" text="" dxfId="648">
      <formula>E50&gt;0</formula>
    </cfRule>
  </conditionalFormatting>
  <conditionalFormatting sqref="E52">
    <cfRule type="cellIs" priority="646" operator="greaterThan" aboveAverage="0" equalAverage="0" bottom="0" percent="0" rank="0" text="" dxfId="649">
      <formula>0</formula>
    </cfRule>
    <cfRule type="expression" priority="647" aboveAverage="0" equalAverage="0" bottom="0" percent="0" rank="0" text="" dxfId="650">
      <formula>E51&gt;0</formula>
    </cfRule>
  </conditionalFormatting>
  <conditionalFormatting sqref="E53">
    <cfRule type="cellIs" priority="648" operator="greaterThan" aboveAverage="0" equalAverage="0" bottom="0" percent="0" rank="0" text="" dxfId="651">
      <formula>0</formula>
    </cfRule>
    <cfRule type="expression" priority="649" aboveAverage="0" equalAverage="0" bottom="0" percent="0" rank="0" text="" dxfId="652">
      <formula>E52&gt;0</formula>
    </cfRule>
  </conditionalFormatting>
  <conditionalFormatting sqref="E54">
    <cfRule type="cellIs" priority="650" operator="greaterThan" aboveAverage="0" equalAverage="0" bottom="0" percent="0" rank="0" text="" dxfId="653">
      <formula>0</formula>
    </cfRule>
    <cfRule type="expression" priority="651" aboveAverage="0" equalAverage="0" bottom="0" percent="0" rank="0" text="" dxfId="654">
      <formula>E53&gt;0</formula>
    </cfRule>
  </conditionalFormatting>
  <conditionalFormatting sqref="E55">
    <cfRule type="cellIs" priority="652" operator="greaterThan" aboveAverage="0" equalAverage="0" bottom="0" percent="0" rank="0" text="" dxfId="655">
      <formula>0</formula>
    </cfRule>
    <cfRule type="expression" priority="653" aboveAverage="0" equalAverage="0" bottom="0" percent="0" rank="0" text="" dxfId="656">
      <formula>E54&gt;0</formula>
    </cfRule>
  </conditionalFormatting>
  <conditionalFormatting sqref="I42:J42">
    <cfRule type="cellIs" priority="654" operator="greaterThan" aboveAverage="0" equalAverage="0" bottom="0" percent="0" rank="0" text="" dxfId="657">
      <formula>0</formula>
    </cfRule>
    <cfRule type="expression" priority="655" aboveAverage="0" equalAverage="0" bottom="0" percent="0" rank="0" text="" dxfId="658">
      <formula>I41&gt;0</formula>
    </cfRule>
  </conditionalFormatting>
  <conditionalFormatting sqref="I43:J43">
    <cfRule type="cellIs" priority="656" operator="greaterThan" aboveAverage="0" equalAverage="0" bottom="0" percent="0" rank="0" text="" dxfId="659">
      <formula>0</formula>
    </cfRule>
    <cfRule type="expression" priority="657" aboveAverage="0" equalAverage="0" bottom="0" percent="0" rank="0" text="" dxfId="660">
      <formula>I42&gt;0</formula>
    </cfRule>
  </conditionalFormatting>
  <conditionalFormatting sqref="I44:J44">
    <cfRule type="cellIs" priority="658" operator="greaterThan" aboveAverage="0" equalAverage="0" bottom="0" percent="0" rank="0" text="" dxfId="661">
      <formula>0</formula>
    </cfRule>
    <cfRule type="expression" priority="659" aboveAverage="0" equalAverage="0" bottom="0" percent="0" rank="0" text="" dxfId="662">
      <formula>I43&gt;0</formula>
    </cfRule>
  </conditionalFormatting>
  <conditionalFormatting sqref="I45:J45">
    <cfRule type="cellIs" priority="660" operator="greaterThan" aboveAverage="0" equalAverage="0" bottom="0" percent="0" rank="0" text="" dxfId="663">
      <formula>0</formula>
    </cfRule>
    <cfRule type="expression" priority="661" aboveAverage="0" equalAverage="0" bottom="0" percent="0" rank="0" text="" dxfId="664">
      <formula>I44&gt;0</formula>
    </cfRule>
  </conditionalFormatting>
  <conditionalFormatting sqref="I46:J46">
    <cfRule type="cellIs" priority="662" operator="greaterThan" aboveAverage="0" equalAverage="0" bottom="0" percent="0" rank="0" text="" dxfId="665">
      <formula>0</formula>
    </cfRule>
    <cfRule type="expression" priority="663" aboveAverage="0" equalAverage="0" bottom="0" percent="0" rank="0" text="" dxfId="666">
      <formula>I45&gt;0</formula>
    </cfRule>
  </conditionalFormatting>
  <conditionalFormatting sqref="I47:J47">
    <cfRule type="cellIs" priority="664" operator="greaterThan" aboveAverage="0" equalAverage="0" bottom="0" percent="0" rank="0" text="" dxfId="667">
      <formula>0</formula>
    </cfRule>
    <cfRule type="expression" priority="665" aboveAverage="0" equalAverage="0" bottom="0" percent="0" rank="0" text="" dxfId="668">
      <formula>I46&gt;0</formula>
    </cfRule>
  </conditionalFormatting>
  <conditionalFormatting sqref="I48:J48">
    <cfRule type="cellIs" priority="666" operator="greaterThan" aboveAverage="0" equalAverage="0" bottom="0" percent="0" rank="0" text="" dxfId="669">
      <formula>0</formula>
    </cfRule>
    <cfRule type="expression" priority="667" aboveAverage="0" equalAverage="0" bottom="0" percent="0" rank="0" text="" dxfId="670">
      <formula>I47&gt;0</formula>
    </cfRule>
  </conditionalFormatting>
  <conditionalFormatting sqref="I49:J49">
    <cfRule type="cellIs" priority="668" operator="greaterThan" aboveAverage="0" equalAverage="0" bottom="0" percent="0" rank="0" text="" dxfId="671">
      <formula>0</formula>
    </cfRule>
    <cfRule type="expression" priority="669" aboveAverage="0" equalAverage="0" bottom="0" percent="0" rank="0" text="" dxfId="672">
      <formula>I48&gt;0</formula>
    </cfRule>
  </conditionalFormatting>
  <conditionalFormatting sqref="I50:J50">
    <cfRule type="cellIs" priority="670" operator="greaterThan" aboveAverage="0" equalAverage="0" bottom="0" percent="0" rank="0" text="" dxfId="673">
      <formula>0</formula>
    </cfRule>
    <cfRule type="expression" priority="671" aboveAverage="0" equalAverage="0" bottom="0" percent="0" rank="0" text="" dxfId="674">
      <formula>I49&gt;0</formula>
    </cfRule>
  </conditionalFormatting>
  <conditionalFormatting sqref="I51:J51">
    <cfRule type="cellIs" priority="672" operator="greaterThan" aboveAverage="0" equalAverage="0" bottom="0" percent="0" rank="0" text="" dxfId="675">
      <formula>0</formula>
    </cfRule>
    <cfRule type="expression" priority="673" aboveAverage="0" equalAverage="0" bottom="0" percent="0" rank="0" text="" dxfId="676">
      <formula>I50&gt;0</formula>
    </cfRule>
  </conditionalFormatting>
  <conditionalFormatting sqref="I52:J52">
    <cfRule type="cellIs" priority="674" operator="greaterThan" aboveAverage="0" equalAverage="0" bottom="0" percent="0" rank="0" text="" dxfId="677">
      <formula>0</formula>
    </cfRule>
    <cfRule type="expression" priority="675" aboveAverage="0" equalAverage="0" bottom="0" percent="0" rank="0" text="" dxfId="678">
      <formula>I51&gt;0</formula>
    </cfRule>
  </conditionalFormatting>
  <conditionalFormatting sqref="I53:J53">
    <cfRule type="cellIs" priority="676" operator="greaterThan" aboveAverage="0" equalAverage="0" bottom="0" percent="0" rank="0" text="" dxfId="679">
      <formula>0</formula>
    </cfRule>
    <cfRule type="expression" priority="677" aboveAverage="0" equalAverage="0" bottom="0" percent="0" rank="0" text="" dxfId="680">
      <formula>I52&gt;0</formula>
    </cfRule>
  </conditionalFormatting>
  <conditionalFormatting sqref="I54:J54">
    <cfRule type="cellIs" priority="678" operator="greaterThan" aboveAverage="0" equalAverage="0" bottom="0" percent="0" rank="0" text="" dxfId="681">
      <formula>0</formula>
    </cfRule>
    <cfRule type="expression" priority="679" aboveAverage="0" equalAverage="0" bottom="0" percent="0" rank="0" text="" dxfId="682">
      <formula>I53&gt;0</formula>
    </cfRule>
  </conditionalFormatting>
  <conditionalFormatting sqref="I55:J55">
    <cfRule type="cellIs" priority="680" operator="greaterThan" aboveAverage="0" equalAverage="0" bottom="0" percent="0" rank="0" text="" dxfId="683">
      <formula>0</formula>
    </cfRule>
    <cfRule type="expression" priority="681" aboveAverage="0" equalAverage="0" bottom="0" percent="0" rank="0" text="" dxfId="684">
      <formula>I54&gt;0</formula>
    </cfRule>
  </conditionalFormatting>
  <conditionalFormatting sqref="M42">
    <cfRule type="cellIs" priority="682" operator="greaterThan" aboveAverage="0" equalAverage="0" bottom="0" percent="0" rank="0" text="" dxfId="685">
      <formula>0</formula>
    </cfRule>
    <cfRule type="expression" priority="683" aboveAverage="0" equalAverage="0" bottom="0" percent="0" rank="0" text="" dxfId="686">
      <formula>M41&gt;0</formula>
    </cfRule>
  </conditionalFormatting>
  <conditionalFormatting sqref="M43">
    <cfRule type="cellIs" priority="684" operator="greaterThan" aboveAverage="0" equalAverage="0" bottom="0" percent="0" rank="0" text="" dxfId="687">
      <formula>0</formula>
    </cfRule>
    <cfRule type="expression" priority="685" aboveAverage="0" equalAverage="0" bottom="0" percent="0" rank="0" text="" dxfId="688">
      <formula>M42&gt;0</formula>
    </cfRule>
  </conditionalFormatting>
  <conditionalFormatting sqref="M44">
    <cfRule type="cellIs" priority="686" operator="greaterThan" aboveAverage="0" equalAverage="0" bottom="0" percent="0" rank="0" text="" dxfId="689">
      <formula>0</formula>
    </cfRule>
    <cfRule type="expression" priority="687" aboveAverage="0" equalAverage="0" bottom="0" percent="0" rank="0" text="" dxfId="690">
      <formula>M43&gt;0</formula>
    </cfRule>
  </conditionalFormatting>
  <conditionalFormatting sqref="M45">
    <cfRule type="cellIs" priority="688" operator="greaterThan" aboveAverage="0" equalAverage="0" bottom="0" percent="0" rank="0" text="" dxfId="691">
      <formula>0</formula>
    </cfRule>
    <cfRule type="expression" priority="689" aboveAverage="0" equalAverage="0" bottom="0" percent="0" rank="0" text="" dxfId="692">
      <formula>M44&gt;0</formula>
    </cfRule>
  </conditionalFormatting>
  <conditionalFormatting sqref="M46">
    <cfRule type="cellIs" priority="690" operator="greaterThan" aboveAverage="0" equalAverage="0" bottom="0" percent="0" rank="0" text="" dxfId="693">
      <formula>0</formula>
    </cfRule>
    <cfRule type="expression" priority="691" aboveAverage="0" equalAverage="0" bottom="0" percent="0" rank="0" text="" dxfId="694">
      <formula>M45&gt;0</formula>
    </cfRule>
  </conditionalFormatting>
  <conditionalFormatting sqref="M47">
    <cfRule type="cellIs" priority="692" operator="greaterThan" aboveAverage="0" equalAverage="0" bottom="0" percent="0" rank="0" text="" dxfId="695">
      <formula>0</formula>
    </cfRule>
    <cfRule type="expression" priority="693" aboveAverage="0" equalAverage="0" bottom="0" percent="0" rank="0" text="" dxfId="696">
      <formula>M46&gt;0</formula>
    </cfRule>
  </conditionalFormatting>
  <conditionalFormatting sqref="M48">
    <cfRule type="cellIs" priority="694" operator="greaterThan" aboveAverage="0" equalAverage="0" bottom="0" percent="0" rank="0" text="" dxfId="697">
      <formula>0</formula>
    </cfRule>
    <cfRule type="expression" priority="695" aboveAverage="0" equalAverage="0" bottom="0" percent="0" rank="0" text="" dxfId="698">
      <formula>M47&gt;0</formula>
    </cfRule>
  </conditionalFormatting>
  <conditionalFormatting sqref="M49">
    <cfRule type="cellIs" priority="696" operator="greaterThan" aboveAverage="0" equalAverage="0" bottom="0" percent="0" rank="0" text="" dxfId="699">
      <formula>0</formula>
    </cfRule>
    <cfRule type="expression" priority="697" aboveAverage="0" equalAverage="0" bottom="0" percent="0" rank="0" text="" dxfId="700">
      <formula>M48&gt;0</formula>
    </cfRule>
  </conditionalFormatting>
  <conditionalFormatting sqref="M50">
    <cfRule type="cellIs" priority="698" operator="greaterThan" aboveAverage="0" equalAverage="0" bottom="0" percent="0" rank="0" text="" dxfId="701">
      <formula>0</formula>
    </cfRule>
    <cfRule type="expression" priority="699" aboveAverage="0" equalAverage="0" bottom="0" percent="0" rank="0" text="" dxfId="702">
      <formula>M49&gt;0</formula>
    </cfRule>
  </conditionalFormatting>
  <conditionalFormatting sqref="M51">
    <cfRule type="cellIs" priority="700" operator="greaterThan" aboveAverage="0" equalAverage="0" bottom="0" percent="0" rank="0" text="" dxfId="703">
      <formula>0</formula>
    </cfRule>
    <cfRule type="expression" priority="701" aboveAverage="0" equalAverage="0" bottom="0" percent="0" rank="0" text="" dxfId="704">
      <formula>M50&gt;0</formula>
    </cfRule>
  </conditionalFormatting>
  <conditionalFormatting sqref="M52">
    <cfRule type="cellIs" priority="702" operator="greaterThan" aboveAverage="0" equalAverage="0" bottom="0" percent="0" rank="0" text="" dxfId="705">
      <formula>0</formula>
    </cfRule>
    <cfRule type="expression" priority="703" aboveAverage="0" equalAverage="0" bottom="0" percent="0" rank="0" text="" dxfId="706">
      <formula>M51&gt;0</formula>
    </cfRule>
  </conditionalFormatting>
  <conditionalFormatting sqref="M53">
    <cfRule type="cellIs" priority="704" operator="greaterThan" aboveAverage="0" equalAverage="0" bottom="0" percent="0" rank="0" text="" dxfId="707">
      <formula>0</formula>
    </cfRule>
    <cfRule type="expression" priority="705" aboveAverage="0" equalAverage="0" bottom="0" percent="0" rank="0" text="" dxfId="708">
      <formula>M52&gt;0</formula>
    </cfRule>
  </conditionalFormatting>
  <conditionalFormatting sqref="M54">
    <cfRule type="cellIs" priority="706" operator="greaterThan" aboveAverage="0" equalAverage="0" bottom="0" percent="0" rank="0" text="" dxfId="709">
      <formula>0</formula>
    </cfRule>
    <cfRule type="expression" priority="707" aboveAverage="0" equalAverage="0" bottom="0" percent="0" rank="0" text="" dxfId="710">
      <formula>M53&gt;0</formula>
    </cfRule>
  </conditionalFormatting>
  <conditionalFormatting sqref="M55">
    <cfRule type="cellIs" priority="708" operator="greaterThan" aboveAverage="0" equalAverage="0" bottom="0" percent="0" rank="0" text="" dxfId="711">
      <formula>0</formula>
    </cfRule>
    <cfRule type="expression" priority="709" aboveAverage="0" equalAverage="0" bottom="0" percent="0" rank="0" text="" dxfId="712">
      <formula>M54&gt;0</formula>
    </cfRule>
  </conditionalFormatting>
  <conditionalFormatting sqref="H41">
    <cfRule type="cellIs" priority="710" operator="greaterThan" aboveAverage="0" equalAverage="0" bottom="0" percent="0" rank="0" text="" dxfId="713">
      <formula>0</formula>
    </cfRule>
    <cfRule type="expression" priority="711" aboveAverage="0" equalAverage="0" bottom="0" percent="0" rank="0" text="" dxfId="714">
      <formula>H40&gt;0</formula>
    </cfRule>
  </conditionalFormatting>
  <conditionalFormatting sqref="H42">
    <cfRule type="cellIs" priority="712" operator="greaterThan" aboveAverage="0" equalAverage="0" bottom="0" percent="0" rank="0" text="" dxfId="715">
      <formula>0</formula>
    </cfRule>
    <cfRule type="expression" priority="713" aboveAverage="0" equalAverage="0" bottom="0" percent="0" rank="0" text="" dxfId="716">
      <formula>H41&gt;0</formula>
    </cfRule>
  </conditionalFormatting>
  <conditionalFormatting sqref="H43">
    <cfRule type="cellIs" priority="714" operator="greaterThan" aboveAverage="0" equalAverage="0" bottom="0" percent="0" rank="0" text="" dxfId="717">
      <formula>0</formula>
    </cfRule>
    <cfRule type="expression" priority="715" aboveAverage="0" equalAverage="0" bottom="0" percent="0" rank="0" text="" dxfId="718">
      <formula>H42&gt;0</formula>
    </cfRule>
  </conditionalFormatting>
  <conditionalFormatting sqref="H44">
    <cfRule type="cellIs" priority="716" operator="greaterThan" aboveAverage="0" equalAverage="0" bottom="0" percent="0" rank="0" text="" dxfId="719">
      <formula>0</formula>
    </cfRule>
    <cfRule type="expression" priority="717" aboveAverage="0" equalAverage="0" bottom="0" percent="0" rank="0" text="" dxfId="720">
      <formula>H43&gt;0</formula>
    </cfRule>
  </conditionalFormatting>
  <conditionalFormatting sqref="H45">
    <cfRule type="cellIs" priority="718" operator="greaterThan" aboveAverage="0" equalAverage="0" bottom="0" percent="0" rank="0" text="" dxfId="721">
      <formula>0</formula>
    </cfRule>
    <cfRule type="expression" priority="719" aboveAverage="0" equalAverage="0" bottom="0" percent="0" rank="0" text="" dxfId="722">
      <formula>H44&gt;0</formula>
    </cfRule>
  </conditionalFormatting>
  <conditionalFormatting sqref="H46">
    <cfRule type="cellIs" priority="720" operator="greaterThan" aboveAverage="0" equalAverage="0" bottom="0" percent="0" rank="0" text="" dxfId="723">
      <formula>0</formula>
    </cfRule>
    <cfRule type="expression" priority="721" aboveAverage="0" equalAverage="0" bottom="0" percent="0" rank="0" text="" dxfId="724">
      <formula>H45&gt;0</formula>
    </cfRule>
  </conditionalFormatting>
  <conditionalFormatting sqref="N48">
    <cfRule type="cellIs" priority="722" operator="greaterThan" aboveAverage="0" equalAverage="0" bottom="0" percent="0" rank="0" text="" dxfId="725">
      <formula>0</formula>
    </cfRule>
    <cfRule type="expression" priority="723" aboveAverage="0" equalAverage="0" bottom="0" percent="0" rank="0" text="" dxfId="726">
      <formula>N47&gt;0</formula>
    </cfRule>
  </conditionalFormatting>
  <conditionalFormatting sqref="N49">
    <cfRule type="cellIs" priority="724" operator="greaterThan" aboveAverage="0" equalAverage="0" bottom="0" percent="0" rank="0" text="" dxfId="727">
      <formula>0</formula>
    </cfRule>
    <cfRule type="expression" priority="725" aboveAverage="0" equalAverage="0" bottom="0" percent="0" rank="0" text="" dxfId="728">
      <formula>N48&gt;0</formula>
    </cfRule>
  </conditionalFormatting>
  <conditionalFormatting sqref="N50">
    <cfRule type="cellIs" priority="726" operator="greaterThan" aboveAverage="0" equalAverage="0" bottom="0" percent="0" rank="0" text="" dxfId="729">
      <formula>0</formula>
    </cfRule>
    <cfRule type="expression" priority="727" aboveAverage="0" equalAverage="0" bottom="0" percent="0" rank="0" text="" dxfId="730">
      <formula>N49&gt;0</formula>
    </cfRule>
  </conditionalFormatting>
  <conditionalFormatting sqref="N51">
    <cfRule type="cellIs" priority="728" operator="greaterThan" aboveAverage="0" equalAverage="0" bottom="0" percent="0" rank="0" text="" dxfId="731">
      <formula>0</formula>
    </cfRule>
    <cfRule type="expression" priority="729" aboveAverage="0" equalAverage="0" bottom="0" percent="0" rank="0" text="" dxfId="732">
      <formula>N50&gt;0</formula>
    </cfRule>
  </conditionalFormatting>
  <conditionalFormatting sqref="N52">
    <cfRule type="cellIs" priority="730" operator="greaterThan" aboveAverage="0" equalAverage="0" bottom="0" percent="0" rank="0" text="" dxfId="733">
      <formula>0</formula>
    </cfRule>
    <cfRule type="expression" priority="731" aboveAverage="0" equalAverage="0" bottom="0" percent="0" rank="0" text="" dxfId="734">
      <formula>N51&gt;0</formula>
    </cfRule>
  </conditionalFormatting>
  <conditionalFormatting sqref="N53">
    <cfRule type="cellIs" priority="732" operator="greaterThan" aboveAverage="0" equalAverage="0" bottom="0" percent="0" rank="0" text="" dxfId="735">
      <formula>0</formula>
    </cfRule>
    <cfRule type="expression" priority="733" aboveAverage="0" equalAverage="0" bottom="0" percent="0" rank="0" text="" dxfId="736">
      <formula>N52&gt;0</formula>
    </cfRule>
  </conditionalFormatting>
  <conditionalFormatting sqref="N54">
    <cfRule type="cellIs" priority="734" operator="greaterThan" aboveAverage="0" equalAverage="0" bottom="0" percent="0" rank="0" text="" dxfId="737">
      <formula>0</formula>
    </cfRule>
    <cfRule type="expression" priority="735" aboveAverage="0" equalAverage="0" bottom="0" percent="0" rank="0" text="" dxfId="738">
      <formula>N53&gt;0</formula>
    </cfRule>
  </conditionalFormatting>
  <conditionalFormatting sqref="N55">
    <cfRule type="cellIs" priority="736" operator="greaterThan" aboveAverage="0" equalAverage="0" bottom="0" percent="0" rank="0" text="" dxfId="739">
      <formula>0</formula>
    </cfRule>
    <cfRule type="expression" priority="737" aboveAverage="0" equalAverage="0" bottom="0" percent="0" rank="0" text="" dxfId="740">
      <formula>N54&gt;0</formula>
    </cfRule>
  </conditionalFormatting>
  <conditionalFormatting sqref="N33">
    <cfRule type="cellIs" priority="738" operator="greaterThan" aboveAverage="0" equalAverage="0" bottom="0" percent="0" rank="0" text="" dxfId="741">
      <formula>0</formula>
    </cfRule>
    <cfRule type="expression" priority="739" aboveAverage="0" equalAverage="0" bottom="0" percent="0" rank="0" text="" dxfId="742">
      <formula>N32&gt;0</formula>
    </cfRule>
  </conditionalFormatting>
  <conditionalFormatting sqref="N29">
    <cfRule type="cellIs" priority="740" operator="greaterThan" aboveAverage="0" equalAverage="0" bottom="0" percent="0" rank="0" text="" dxfId="743">
      <formula>0</formula>
    </cfRule>
    <cfRule type="expression" priority="741" aboveAverage="0" equalAverage="0" bottom="0" percent="0" rank="0" text="" dxfId="744">
      <formula>N28&gt;0</formula>
    </cfRule>
  </conditionalFormatting>
  <conditionalFormatting sqref="N30">
    <cfRule type="cellIs" priority="742" operator="greaterThan" aboveAverage="0" equalAverage="0" bottom="0" percent="0" rank="0" text="" dxfId="745">
      <formula>0</formula>
    </cfRule>
    <cfRule type="expression" priority="743" aboveAverage="0" equalAverage="0" bottom="0" percent="0" rank="0" text="" dxfId="746">
      <formula>N29&gt;0</formula>
    </cfRule>
  </conditionalFormatting>
  <conditionalFormatting sqref="N31">
    <cfRule type="cellIs" priority="744" operator="greaterThan" aboveAverage="0" equalAverage="0" bottom="0" percent="0" rank="0" text="" dxfId="747">
      <formula>0</formula>
    </cfRule>
    <cfRule type="expression" priority="745" aboveAverage="0" equalAverage="0" bottom="0" percent="0" rank="0" text="" dxfId="748">
      <formula>N30&gt;0</formula>
    </cfRule>
  </conditionalFormatting>
  <conditionalFormatting sqref="N32">
    <cfRule type="cellIs" priority="746" operator="greaterThan" aboveAverage="0" equalAverage="0" bottom="0" percent="0" rank="0" text="" dxfId="749">
      <formula>0</formula>
    </cfRule>
    <cfRule type="expression" priority="747" aboveAverage="0" equalAverage="0" bottom="0" percent="0" rank="0" text="" dxfId="750">
      <formula>N31&gt;0</formula>
    </cfRule>
  </conditionalFormatting>
  <conditionalFormatting sqref="N34">
    <cfRule type="cellIs" priority="748" operator="greaterThan" aboveAverage="0" equalAverage="0" bottom="0" percent="0" rank="0" text="" dxfId="751">
      <formula>0</formula>
    </cfRule>
    <cfRule type="expression" priority="749" aboveAverage="0" equalAverage="0" bottom="0" percent="0" rank="0" text="" dxfId="752">
      <formula>N33&gt;0</formula>
    </cfRule>
  </conditionalFormatting>
  <conditionalFormatting sqref="N35">
    <cfRule type="cellIs" priority="750" operator="greaterThan" aboveAverage="0" equalAverage="0" bottom="0" percent="0" rank="0" text="" dxfId="753">
      <formula>0</formula>
    </cfRule>
    <cfRule type="expression" priority="751" aboveAverage="0" equalAverage="0" bottom="0" percent="0" rank="0" text="" dxfId="754">
      <formula>N34&gt;0</formula>
    </cfRule>
  </conditionalFormatting>
  <conditionalFormatting sqref="N36">
    <cfRule type="cellIs" priority="752" operator="greaterThan" aboveAverage="0" equalAverage="0" bottom="0" percent="0" rank="0" text="" dxfId="755">
      <formula>0</formula>
    </cfRule>
    <cfRule type="expression" priority="753" aboveAverage="0" equalAverage="0" bottom="0" percent="0" rank="0" text="" dxfId="756">
      <formula>N35&gt;0</formula>
    </cfRule>
  </conditionalFormatting>
  <conditionalFormatting sqref="N37">
    <cfRule type="cellIs" priority="754" operator="greaterThan" aboveAverage="0" equalAverage="0" bottom="0" percent="0" rank="0" text="" dxfId="757">
      <formula>0</formula>
    </cfRule>
    <cfRule type="expression" priority="755" aboveAverage="0" equalAverage="0" bottom="0" percent="0" rank="0" text="" dxfId="758">
      <formula>N36&gt;0</formula>
    </cfRule>
  </conditionalFormatting>
  <conditionalFormatting sqref="N38">
    <cfRule type="cellIs" priority="756" operator="greaterThan" aboveAverage="0" equalAverage="0" bottom="0" percent="0" rank="0" text="" dxfId="759">
      <formula>0</formula>
    </cfRule>
    <cfRule type="expression" priority="757" aboveAverage="0" equalAverage="0" bottom="0" percent="0" rank="0" text="" dxfId="760">
      <formula>N37&gt;0</formula>
    </cfRule>
  </conditionalFormatting>
  <conditionalFormatting sqref="N39">
    <cfRule type="cellIs" priority="758" operator="greaterThan" aboveAverage="0" equalAverage="0" bottom="0" percent="0" rank="0" text="" dxfId="761">
      <formula>0</formula>
    </cfRule>
    <cfRule type="expression" priority="759" aboveAverage="0" equalAverage="0" bottom="0" percent="0" rank="0" text="" dxfId="762">
      <formula>N38&gt;0</formula>
    </cfRule>
  </conditionalFormatting>
  <conditionalFormatting sqref="N40">
    <cfRule type="cellIs" priority="760" operator="greaterThan" aboveAverage="0" equalAverage="0" bottom="0" percent="0" rank="0" text="" dxfId="763">
      <formula>0</formula>
    </cfRule>
    <cfRule type="expression" priority="761" aboveAverage="0" equalAverage="0" bottom="0" percent="0" rank="0" text="" dxfId="764">
      <formula>N39&gt;0</formula>
    </cfRule>
  </conditionalFormatting>
  <conditionalFormatting sqref="N41">
    <cfRule type="cellIs" priority="762" operator="greaterThan" aboveAverage="0" equalAverage="0" bottom="0" percent="0" rank="0" text="" dxfId="765">
      <formula>0</formula>
    </cfRule>
    <cfRule type="expression" priority="763" aboveAverage="0" equalAverage="0" bottom="0" percent="0" rank="0" text="" dxfId="766">
      <formula>N40&gt;0</formula>
    </cfRule>
  </conditionalFormatting>
  <conditionalFormatting sqref="N42">
    <cfRule type="cellIs" priority="764" operator="greaterThan" aboveAverage="0" equalAverage="0" bottom="0" percent="0" rank="0" text="" dxfId="767">
      <formula>0</formula>
    </cfRule>
    <cfRule type="expression" priority="765" aboveAverage="0" equalAverage="0" bottom="0" percent="0" rank="0" text="" dxfId="768">
      <formula>N41&gt;0</formula>
    </cfRule>
  </conditionalFormatting>
  <conditionalFormatting sqref="N43">
    <cfRule type="cellIs" priority="766" operator="greaterThan" aboveAverage="0" equalAverage="0" bottom="0" percent="0" rank="0" text="" dxfId="769">
      <formula>0</formula>
    </cfRule>
    <cfRule type="expression" priority="767" aboveAverage="0" equalAverage="0" bottom="0" percent="0" rank="0" text="" dxfId="770">
      <formula>N42&gt;0</formula>
    </cfRule>
  </conditionalFormatting>
  <conditionalFormatting sqref="N44">
    <cfRule type="cellIs" priority="768" operator="greaterThan" aboveAverage="0" equalAverage="0" bottom="0" percent="0" rank="0" text="" dxfId="771">
      <formula>0</formula>
    </cfRule>
    <cfRule type="expression" priority="769" aboveAverage="0" equalAverage="0" bottom="0" percent="0" rank="0" text="" dxfId="772">
      <formula>N43&gt;0</formula>
    </cfRule>
  </conditionalFormatting>
  <conditionalFormatting sqref="N45">
    <cfRule type="cellIs" priority="770" operator="greaterThan" aboveAverage="0" equalAverage="0" bottom="0" percent="0" rank="0" text="" dxfId="773">
      <formula>0</formula>
    </cfRule>
    <cfRule type="expression" priority="771" aboveAverage="0" equalAverage="0" bottom="0" percent="0" rank="0" text="" dxfId="774">
      <formula>N44&gt;0</formula>
    </cfRule>
  </conditionalFormatting>
  <conditionalFormatting sqref="N46">
    <cfRule type="cellIs" priority="772" operator="greaterThan" aboveAverage="0" equalAverage="0" bottom="0" percent="0" rank="0" text="" dxfId="775">
      <formula>0</formula>
    </cfRule>
    <cfRule type="expression" priority="773" aboveAverage="0" equalAverage="0" bottom="0" percent="0" rank="0" text="" dxfId="776">
      <formula>N45&gt;0</formula>
    </cfRule>
  </conditionalFormatting>
  <conditionalFormatting sqref="N47">
    <cfRule type="cellIs" priority="774" operator="greaterThan" aboveAverage="0" equalAverage="0" bottom="0" percent="0" rank="0" text="" dxfId="777">
      <formula>0</formula>
    </cfRule>
    <cfRule type="expression" priority="775" aboveAverage="0" equalAverage="0" bottom="0" percent="0" rank="0" text="" dxfId="778">
      <formula>N46&gt;0</formula>
    </cfRule>
  </conditionalFormatting>
  <conditionalFormatting sqref="D64">
    <cfRule type="cellIs" priority="776" operator="greaterThan" aboveAverage="0" equalAverage="0" bottom="0" percent="0" rank="0" text="" dxfId="779">
      <formula>0</formula>
    </cfRule>
  </conditionalFormatting>
  <conditionalFormatting sqref="D65">
    <cfRule type="cellIs" priority="777" operator="greaterThan" aboveAverage="0" equalAverage="0" bottom="0" percent="0" rank="0" text="" dxfId="780">
      <formula>0</formula>
    </cfRule>
    <cfRule type="expression" priority="778" aboveAverage="0" equalAverage="0" bottom="0" percent="0" rank="0" text="" dxfId="781">
      <formula>D64&gt;0</formula>
    </cfRule>
  </conditionalFormatting>
  <conditionalFormatting sqref="D66">
    <cfRule type="cellIs" priority="779" operator="greaterThan" aboveAverage="0" equalAverage="0" bottom="0" percent="0" rank="0" text="" dxfId="782">
      <formula>0</formula>
    </cfRule>
    <cfRule type="expression" priority="780" aboveAverage="0" equalAverage="0" bottom="0" percent="0" rank="0" text="" dxfId="783">
      <formula>D65&gt;0</formula>
    </cfRule>
  </conditionalFormatting>
  <conditionalFormatting sqref="D67">
    <cfRule type="cellIs" priority="781" operator="greaterThan" aboveAverage="0" equalAverage="0" bottom="0" percent="0" rank="0" text="" dxfId="784">
      <formula>0</formula>
    </cfRule>
    <cfRule type="expression" priority="782" aboveAverage="0" equalAverage="0" bottom="0" percent="0" rank="0" text="" dxfId="785">
      <formula>D66&gt;0</formula>
    </cfRule>
  </conditionalFormatting>
  <conditionalFormatting sqref="E64">
    <cfRule type="cellIs" priority="783" operator="greaterThan" aboveAverage="0" equalAverage="0" bottom="0" percent="0" rank="0" text="" dxfId="786">
      <formula>0</formula>
    </cfRule>
  </conditionalFormatting>
  <conditionalFormatting sqref="E65">
    <cfRule type="cellIs" priority="784" operator="greaterThan" aboveAverage="0" equalAverage="0" bottom="0" percent="0" rank="0" text="" dxfId="787">
      <formula>0</formula>
    </cfRule>
    <cfRule type="expression" priority="785" aboveAverage="0" equalAverage="0" bottom="0" percent="0" rank="0" text="" dxfId="788">
      <formula>E64&gt;0</formula>
    </cfRule>
  </conditionalFormatting>
  <conditionalFormatting sqref="E66">
    <cfRule type="cellIs" priority="786" operator="greaterThan" aboveAverage="0" equalAverage="0" bottom="0" percent="0" rank="0" text="" dxfId="789">
      <formula>0</formula>
    </cfRule>
    <cfRule type="expression" priority="787" aboveAverage="0" equalAverage="0" bottom="0" percent="0" rank="0" text="" dxfId="790">
      <formula>E65&gt;0</formula>
    </cfRule>
  </conditionalFormatting>
  <conditionalFormatting sqref="E67">
    <cfRule type="cellIs" priority="788" operator="greaterThan" aboveAverage="0" equalAverage="0" bottom="0" percent="0" rank="0" text="" dxfId="791">
      <formula>0</formula>
    </cfRule>
    <cfRule type="expression" priority="789" aboveAverage="0" equalAverage="0" bottom="0" percent="0" rank="0" text="" dxfId="792">
      <formula>E66&gt;0</formula>
    </cfRule>
  </conditionalFormatting>
  <conditionalFormatting sqref="E68">
    <cfRule type="cellIs" priority="790" operator="greaterThan" aboveAverage="0" equalAverage="0" bottom="0" percent="0" rank="0" text="" dxfId="793">
      <formula>0</formula>
    </cfRule>
    <cfRule type="expression" priority="791" aboveAverage="0" equalAverage="0" bottom="0" percent="0" rank="0" text="" dxfId="794">
      <formula>E67&gt;0</formula>
    </cfRule>
  </conditionalFormatting>
  <conditionalFormatting sqref="E69">
    <cfRule type="cellIs" priority="792" operator="greaterThan" aboveAverage="0" equalAverage="0" bottom="0" percent="0" rank="0" text="" dxfId="795">
      <formula>0</formula>
    </cfRule>
    <cfRule type="expression" priority="793" aboveAverage="0" equalAverage="0" bottom="0" percent="0" rank="0" text="" dxfId="796">
      <formula>E68&gt;0</formula>
    </cfRule>
  </conditionalFormatting>
  <conditionalFormatting sqref="E70">
    <cfRule type="cellIs" priority="794" operator="greaterThan" aboveAverage="0" equalAverage="0" bottom="0" percent="0" rank="0" text="" dxfId="797">
      <formula>0</formula>
    </cfRule>
    <cfRule type="expression" priority="795" aboveAverage="0" equalAverage="0" bottom="0" percent="0" rank="0" text="" dxfId="798">
      <formula>E69&gt;0</formula>
    </cfRule>
  </conditionalFormatting>
  <conditionalFormatting sqref="E71">
    <cfRule type="cellIs" priority="796" operator="greaterThan" aboveAverage="0" equalAverage="0" bottom="0" percent="0" rank="0" text="" dxfId="799">
      <formula>0</formula>
    </cfRule>
    <cfRule type="expression" priority="797" aboveAverage="0" equalAverage="0" bottom="0" percent="0" rank="0" text="" dxfId="800">
      <formula>E70&gt;0</formula>
    </cfRule>
  </conditionalFormatting>
  <conditionalFormatting sqref="E72">
    <cfRule type="cellIs" priority="798" operator="greaterThan" aboveAverage="0" equalAverage="0" bottom="0" percent="0" rank="0" text="" dxfId="801">
      <formula>0</formula>
    </cfRule>
    <cfRule type="expression" priority="799" aboveAverage="0" equalAverage="0" bottom="0" percent="0" rank="0" text="" dxfId="802">
      <formula>E71&gt;0</formula>
    </cfRule>
  </conditionalFormatting>
  <conditionalFormatting sqref="E73">
    <cfRule type="cellIs" priority="800" operator="greaterThan" aboveAverage="0" equalAverage="0" bottom="0" percent="0" rank="0" text="" dxfId="803">
      <formula>0</formula>
    </cfRule>
    <cfRule type="expression" priority="801" aboveAverage="0" equalAverage="0" bottom="0" percent="0" rank="0" text="" dxfId="804">
      <formula>E72&gt;0</formula>
    </cfRule>
  </conditionalFormatting>
  <conditionalFormatting sqref="H28">
    <cfRule type="cellIs" priority="802" operator="greaterThan" aboveAverage="0" equalAverage="0" bottom="0" percent="0" rank="0" text="" dxfId="805">
      <formula>0</formula>
    </cfRule>
  </conditionalFormatting>
  <conditionalFormatting sqref="H29">
    <cfRule type="cellIs" priority="803" operator="greaterThan" aboveAverage="0" equalAverage="0" bottom="0" percent="0" rank="0" text="" dxfId="806">
      <formula>0</formula>
    </cfRule>
    <cfRule type="expression" priority="804" aboveAverage="0" equalAverage="0" bottom="0" percent="0" rank="0" text="" dxfId="807">
      <formula>H28&gt;0</formula>
    </cfRule>
  </conditionalFormatting>
  <conditionalFormatting sqref="H30">
    <cfRule type="cellIs" priority="805" operator="greaterThan" aboveAverage="0" equalAverage="0" bottom="0" percent="0" rank="0" text="" dxfId="808">
      <formula>0</formula>
    </cfRule>
    <cfRule type="expression" priority="806" aboveAverage="0" equalAverage="0" bottom="0" percent="0" rank="0" text="" dxfId="809">
      <formula>H29&gt;0</formula>
    </cfRule>
  </conditionalFormatting>
  <conditionalFormatting sqref="H31">
    <cfRule type="cellIs" priority="807" operator="greaterThan" aboveAverage="0" equalAverage="0" bottom="0" percent="0" rank="0" text="" dxfId="810">
      <formula>0</formula>
    </cfRule>
    <cfRule type="expression" priority="808" aboveAverage="0" equalAverage="0" bottom="0" percent="0" rank="0" text="" dxfId="811">
      <formula>H30&gt;0</formula>
    </cfRule>
  </conditionalFormatting>
  <conditionalFormatting sqref="H32">
    <cfRule type="cellIs" priority="809" operator="greaterThan" aboveAverage="0" equalAverage="0" bottom="0" percent="0" rank="0" text="" dxfId="812">
      <formula>0</formula>
    </cfRule>
    <cfRule type="expression" priority="810" aboveAverage="0" equalAverage="0" bottom="0" percent="0" rank="0" text="" dxfId="813">
      <formula>H31&gt;0</formula>
    </cfRule>
  </conditionalFormatting>
  <conditionalFormatting sqref="H33">
    <cfRule type="cellIs" priority="811" operator="greaterThan" aboveAverage="0" equalAverage="0" bottom="0" percent="0" rank="0" text="" dxfId="814">
      <formula>0</formula>
    </cfRule>
    <cfRule type="expression" priority="812" aboveAverage="0" equalAverage="0" bottom="0" percent="0" rank="0" text="" dxfId="815">
      <formula>H32&gt;0</formula>
    </cfRule>
  </conditionalFormatting>
  <conditionalFormatting sqref="H34">
    <cfRule type="cellIs" priority="813" operator="greaterThan" aboveAverage="0" equalAverage="0" bottom="0" percent="0" rank="0" text="" dxfId="816">
      <formula>0</formula>
    </cfRule>
    <cfRule type="expression" priority="814" aboveAverage="0" equalAverage="0" bottom="0" percent="0" rank="0" text="" dxfId="817">
      <formula>H33&gt;0</formula>
    </cfRule>
  </conditionalFormatting>
  <conditionalFormatting sqref="H35">
    <cfRule type="cellIs" priority="815" operator="greaterThan" aboveAverage="0" equalAverage="0" bottom="0" percent="0" rank="0" text="" dxfId="818">
      <formula>0</formula>
    </cfRule>
    <cfRule type="expression" priority="816" aboveAverage="0" equalAverage="0" bottom="0" percent="0" rank="0" text="" dxfId="819">
      <formula>H34&gt;0</formula>
    </cfRule>
  </conditionalFormatting>
  <conditionalFormatting sqref="H36">
    <cfRule type="cellIs" priority="817" operator="greaterThan" aboveAverage="0" equalAverage="0" bottom="0" percent="0" rank="0" text="" dxfId="820">
      <formula>0</formula>
    </cfRule>
    <cfRule type="expression" priority="818" aboveAverage="0" equalAverage="0" bottom="0" percent="0" rank="0" text="" dxfId="821">
      <formula>H35&gt;0</formula>
    </cfRule>
  </conditionalFormatting>
  <conditionalFormatting sqref="H37">
    <cfRule type="cellIs" priority="819" operator="greaterThan" aboveAverage="0" equalAverage="0" bottom="0" percent="0" rank="0" text="" dxfId="822">
      <formula>0</formula>
    </cfRule>
    <cfRule type="expression" priority="820" aboveAverage="0" equalAverage="0" bottom="0" percent="0" rank="0" text="" dxfId="823">
      <formula>H36&gt;0</formula>
    </cfRule>
  </conditionalFormatting>
  <conditionalFormatting sqref="H38">
    <cfRule type="cellIs" priority="821" operator="greaterThan" aboveAverage="0" equalAverage="0" bottom="0" percent="0" rank="0" text="" dxfId="824">
      <formula>0</formula>
    </cfRule>
    <cfRule type="expression" priority="822" aboveAverage="0" equalAverage="0" bottom="0" percent="0" rank="0" text="" dxfId="825">
      <formula>H37&gt;0</formula>
    </cfRule>
  </conditionalFormatting>
  <conditionalFormatting sqref="H39">
    <cfRule type="cellIs" priority="823" operator="greaterThan" aboveAverage="0" equalAverage="0" bottom="0" percent="0" rank="0" text="" dxfId="826">
      <formula>0</formula>
    </cfRule>
    <cfRule type="expression" priority="824" aboveAverage="0" equalAverage="0" bottom="0" percent="0" rank="0" text="" dxfId="827">
      <formula>H38&gt;0</formula>
    </cfRule>
  </conditionalFormatting>
  <conditionalFormatting sqref="H40">
    <cfRule type="cellIs" priority="825" operator="greaterThan" aboveAverage="0" equalAverage="0" bottom="0" percent="0" rank="0" text="" dxfId="828">
      <formula>0</formula>
    </cfRule>
    <cfRule type="expression" priority="826" aboveAverage="0" equalAverage="0" bottom="0" percent="0" rank="0" text="" dxfId="829">
      <formula>H39&gt;0</formula>
    </cfRule>
  </conditionalFormatting>
  <conditionalFormatting sqref="H47">
    <cfRule type="cellIs" priority="827" operator="greaterThan" aboveAverage="0" equalAverage="0" bottom="0" percent="0" rank="0" text="" dxfId="830">
      <formula>0</formula>
    </cfRule>
    <cfRule type="expression" priority="828" aboveAverage="0" equalAverage="0" bottom="0" percent="0" rank="0" text="" dxfId="831">
      <formula>H46&gt;0</formula>
    </cfRule>
  </conditionalFormatting>
  <conditionalFormatting sqref="H48">
    <cfRule type="cellIs" priority="829" operator="greaterThan" aboveAverage="0" equalAverage="0" bottom="0" percent="0" rank="0" text="" dxfId="832">
      <formula>0</formula>
    </cfRule>
    <cfRule type="expression" priority="830" aboveAverage="0" equalAverage="0" bottom="0" percent="0" rank="0" text="" dxfId="833">
      <formula>H47&gt;0</formula>
    </cfRule>
  </conditionalFormatting>
  <conditionalFormatting sqref="H49">
    <cfRule type="cellIs" priority="831" operator="greaterThan" aboveAverage="0" equalAverage="0" bottom="0" percent="0" rank="0" text="" dxfId="834">
      <formula>0</formula>
    </cfRule>
    <cfRule type="expression" priority="832" aboveAverage="0" equalAverage="0" bottom="0" percent="0" rank="0" text="" dxfId="835">
      <formula>H48&gt;0</formula>
    </cfRule>
  </conditionalFormatting>
  <conditionalFormatting sqref="H50">
    <cfRule type="cellIs" priority="833" operator="greaterThan" aboveAverage="0" equalAverage="0" bottom="0" percent="0" rank="0" text="" dxfId="836">
      <formula>0</formula>
    </cfRule>
    <cfRule type="expression" priority="834" aboveAverage="0" equalAverage="0" bottom="0" percent="0" rank="0" text="" dxfId="837">
      <formula>H49&gt;0</formula>
    </cfRule>
  </conditionalFormatting>
  <conditionalFormatting sqref="H51">
    <cfRule type="cellIs" priority="835" operator="greaterThan" aboveAverage="0" equalAverage="0" bottom="0" percent="0" rank="0" text="" dxfId="838">
      <formula>0</formula>
    </cfRule>
    <cfRule type="expression" priority="836" aboveAverage="0" equalAverage="0" bottom="0" percent="0" rank="0" text="" dxfId="839">
      <formula>H50&gt;0</formula>
    </cfRule>
  </conditionalFormatting>
  <conditionalFormatting sqref="H52">
    <cfRule type="cellIs" priority="837" operator="greaterThan" aboveAverage="0" equalAverage="0" bottom="0" percent="0" rank="0" text="" dxfId="840">
      <formula>0</formula>
    </cfRule>
    <cfRule type="expression" priority="838" aboveAverage="0" equalAverage="0" bottom="0" percent="0" rank="0" text="" dxfId="841">
      <formula>H51&gt;0</formula>
    </cfRule>
  </conditionalFormatting>
  <conditionalFormatting sqref="H53">
    <cfRule type="cellIs" priority="839" operator="greaterThan" aboveAverage="0" equalAverage="0" bottom="0" percent="0" rank="0" text="" dxfId="842">
      <formula>0</formula>
    </cfRule>
    <cfRule type="expression" priority="840" aboveAverage="0" equalAverage="0" bottom="0" percent="0" rank="0" text="" dxfId="843">
      <formula>H52&gt;0</formula>
    </cfRule>
  </conditionalFormatting>
  <conditionalFormatting sqref="H54">
    <cfRule type="cellIs" priority="841" operator="greaterThan" aboveAverage="0" equalAverage="0" bottom="0" percent="0" rank="0" text="" dxfId="844">
      <formula>0</formula>
    </cfRule>
    <cfRule type="expression" priority="842" aboveAverage="0" equalAverage="0" bottom="0" percent="0" rank="0" text="" dxfId="845">
      <formula>H53&gt;0</formula>
    </cfRule>
  </conditionalFormatting>
  <conditionalFormatting sqref="C95">
    <cfRule type="cellIs" priority="843" operator="greaterThan" aboveAverage="0" equalAverage="0" bottom="0" percent="0" rank="0" text="" dxfId="846">
      <formula>0</formula>
    </cfRule>
    <cfRule type="expression" priority="844" aboveAverage="0" equalAverage="0" bottom="0" percent="0" rank="0" text="" dxfId="847">
      <formula>C94&gt;0</formula>
    </cfRule>
  </conditionalFormatting>
  <conditionalFormatting sqref="C95">
    <cfRule type="cellIs" priority="845" operator="greaterThan" aboveAverage="0" equalAverage="0" bottom="0" percent="0" rank="0" text="" dxfId="848">
      <formula>0</formula>
    </cfRule>
  </conditionalFormatting>
  <conditionalFormatting sqref="C94">
    <cfRule type="cellIs" priority="846" operator="greaterThan" aboveAverage="0" equalAverage="0" bottom="0" percent="0" rank="0" text="" dxfId="849">
      <formula>0</formula>
    </cfRule>
    <cfRule type="expression" priority="847" aboveAverage="0" equalAverage="0" bottom="0" percent="0" rank="0" text="" dxfId="850">
      <formula>C93&gt;0</formula>
    </cfRule>
  </conditionalFormatting>
  <conditionalFormatting sqref="L14">
    <cfRule type="cellIs" priority="848" operator="greaterThan" aboveAverage="0" equalAverage="0" bottom="0" percent="0" rank="0" text="" dxfId="851">
      <formula>0</formula>
    </cfRule>
  </conditionalFormatting>
  <conditionalFormatting sqref="O14">
    <cfRule type="cellIs" priority="849" operator="greaterThan" aboveAverage="0" equalAverage="0" bottom="0" percent="0" rank="0" text="" dxfId="852">
      <formula>0</formula>
    </cfRule>
  </conditionalFormatting>
  <conditionalFormatting sqref="P30:P55 P28">
    <cfRule type="dataBar" priority="850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{8D2B6EE9-FA8B-4A63-85FC-A8B43EEBF260}</x14:id>
        </ext>
      </extLst>
    </cfRule>
  </conditionalFormatting>
  <conditionalFormatting sqref="P29">
    <cfRule type="dataBar" priority="851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{392CB744-5862-4D94-9533-9D70FA949317}</x14:id>
        </ext>
      </extLst>
    </cfRule>
  </conditionalFormatting>
  <dataValidations count="6">
    <dataValidation allowBlank="true" operator="equal" showDropDown="false" showErrorMessage="true" showInputMessage="true" sqref="D5" type="list">
      <formula1>$T$2:$T$13</formula1>
      <formula2>0</formula2>
    </dataValidation>
    <dataValidation allowBlank="true" operator="equal" showDropDown="false" showErrorMessage="true" showInputMessage="true" sqref="E5" type="list">
      <formula1>$S$2:$S$17</formula1>
      <formula2>0</formula2>
    </dataValidation>
    <dataValidation allowBlank="true" operator="equal" showDropDown="false" showErrorMessage="true" showInputMessage="true" sqref="D10:E10" type="list">
      <formula1>$U$1:$U$5</formula1>
      <formula2>0</formula2>
    </dataValidation>
    <dataValidation allowBlank="true" operator="equal" showDropDown="false" showErrorMessage="true" showInputMessage="true" sqref="L14" type="list">
      <formula1>$X$1:$X$13</formula1>
      <formula2>0</formula2>
    </dataValidation>
    <dataValidation allowBlank="true" operator="equal" showDropDown="false" showErrorMessage="true" showInputMessage="true" sqref="H28:H55 H64:H80" type="list">
      <formula1>$V$1:$V$6</formula1>
      <formula2>0</formula2>
    </dataValidation>
    <dataValidation allowBlank="true" operator="equal" showDropDown="false" showErrorMessage="true" showInputMessage="true" sqref="L86" type="list">
      <formula1>$W$1:$W$2</formula1>
      <formula2>0</formula2>
    </dataValidation>
  </dataValidations>
  <printOptions headings="false" gridLines="false" gridLinesSet="true" horizontalCentered="true" verticalCentered="false"/>
  <pageMargins left="0" right="0" top="0" bottom="0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59" man="true" max="16383" min="0"/>
    <brk id="118" man="true" max="16383" min="0"/>
  </rowBreak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3AC885-961A-48C8-8816-97B120565116}">
            <x14:dataBar minLength="10" maxLength="90" axisPosition="automatic" gradient="true">
              <x14:cfvo type="autoMin"/>
              <x14:cfvo type="autoMax"/>
              <x14:negativeFillColor rgb="FFFF9999"/>
              <x14:axisColor rgb="FF000000"/>
            </x14:dataBar>
          </x14:cfRule>
          <xm:sqref>O90:O96</xm:sqref>
        </x14:conditionalFormatting>
        <x14:conditionalFormatting xmlns:xm="http://schemas.microsoft.com/office/excel/2006/main">
          <x14:cfRule type="dataBar" id="{9774E9BD-F354-4DF0-8721-687084C0767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K28:L55</xm:sqref>
        </x14:conditionalFormatting>
        <x14:conditionalFormatting xmlns:xm="http://schemas.microsoft.com/office/excel/2006/main">
          <x14:cfRule type="dataBar" id="{909FA2D4-AFF4-48A7-8C80-C4508AD0656B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D16:D17</xm:sqref>
        </x14:conditionalFormatting>
        <x14:conditionalFormatting xmlns:xm="http://schemas.microsoft.com/office/excel/2006/main">
          <x14:cfRule type="dataBar" id="{147063C8-DD9E-4FAF-9351-4173EF373533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AFF6BE84-5380-44BA-AFB5-BDF24A94DD9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K64:L80</xm:sqref>
        </x14:conditionalFormatting>
        <x14:conditionalFormatting xmlns:xm="http://schemas.microsoft.com/office/excel/2006/main">
          <x14:cfRule type="dataBar" id="{7CFA9721-DF6A-49FC-AA45-BFC361903BD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C92:C116</xm:sqref>
        </x14:conditionalFormatting>
        <x14:conditionalFormatting xmlns:xm="http://schemas.microsoft.com/office/excel/2006/main">
          <x14:cfRule type="dataBar" id="{84DBE1D3-5723-46CC-A093-D3E6C6AF1187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F92:F116</xm:sqref>
        </x14:conditionalFormatting>
        <x14:conditionalFormatting xmlns:xm="http://schemas.microsoft.com/office/excel/2006/main">
          <x14:cfRule type="dataBar" id="{5842C1CD-5E80-4959-A375-2EE68A30B583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F28:G55</xm:sqref>
        </x14:conditionalFormatting>
        <x14:conditionalFormatting xmlns:xm="http://schemas.microsoft.com/office/excel/2006/main">
          <x14:cfRule type="dataBar" id="{C5DF77AF-80A6-46AF-92B9-86669440762B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F64:G80</xm:sqref>
        </x14:conditionalFormatting>
        <x14:conditionalFormatting xmlns:xm="http://schemas.microsoft.com/office/excel/2006/main">
          <x14:cfRule type="dataBar" id="{8D2B6EE9-FA8B-4A63-85FC-A8B43EEBF26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P30:P55 P28</xm:sqref>
        </x14:conditionalFormatting>
        <x14:conditionalFormatting xmlns:xm="http://schemas.microsoft.com/office/excel/2006/main">
          <x14:cfRule type="dataBar" id="{392CB744-5862-4D94-9533-9D70FA949317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P29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BL707"/>
  <sheetViews>
    <sheetView showFormulas="false" showGridLines="true" showRowColHeaders="true" showZeros="false" rightToLeft="false" tabSelected="false" showOutlineSymbols="true" defaultGridColor="true" view="normal" topLeftCell="A1" colorId="64" zoomScale="55" zoomScaleNormal="55" zoomScalePageLayoutView="100" workbookViewId="0">
      <pane xSplit="0" ySplit="10" topLeftCell="A11" activePane="bottomLeft" state="frozen"/>
      <selection pane="topLeft" activeCell="A1" activeCellId="0" sqref="A1"/>
      <selection pane="bottomLeft" activeCell="D3" activeCellId="0" sqref="D3"/>
    </sheetView>
  </sheetViews>
  <sheetFormatPr defaultColWidth="9.14453125" defaultRowHeight="13.8" zeroHeight="true" outlineLevelRow="0" outlineLevelCol="0"/>
  <cols>
    <col collapsed="false" customWidth="true" hidden="false" outlineLevel="0" max="1" min="1" style="308" width="7.71"/>
    <col collapsed="false" customWidth="true" hidden="false" outlineLevel="0" max="2" min="2" style="308" width="16.57"/>
    <col collapsed="false" customWidth="true" hidden="false" outlineLevel="0" max="3" min="3" style="309" width="11.71"/>
    <col collapsed="false" customWidth="true" hidden="false" outlineLevel="0" max="4" min="4" style="310" width="14.57"/>
    <col collapsed="false" customWidth="true" hidden="false" outlineLevel="0" max="5" min="5" style="311" width="12.85"/>
    <col collapsed="false" customWidth="true" hidden="false" outlineLevel="0" max="6" min="6" style="311" width="12"/>
    <col collapsed="false" customWidth="true" hidden="false" outlineLevel="0" max="7" min="7" style="311" width="12.85"/>
    <col collapsed="false" customWidth="true" hidden="false" outlineLevel="0" max="8" min="8" style="310" width="14.43"/>
    <col collapsed="false" customWidth="true" hidden="false" outlineLevel="0" max="9" min="9" style="311" width="11.57"/>
    <col collapsed="false" customWidth="true" hidden="false" outlineLevel="0" max="10" min="10" style="311" width="12.14"/>
    <col collapsed="false" customWidth="true" hidden="false" outlineLevel="0" max="11" min="11" style="311" width="12.43"/>
    <col collapsed="false" customWidth="true" hidden="true" outlineLevel="0" max="12" min="12" style="312" width="13.43"/>
    <col collapsed="false" customWidth="true" hidden="true" outlineLevel="0" max="15" min="13" style="312" width="13.57"/>
    <col collapsed="false" customWidth="true" hidden="true" outlineLevel="0" max="16" min="16" style="313" width="4.57"/>
    <col collapsed="false" customWidth="false" hidden="true" outlineLevel="0" max="17" min="17" style="314" width="9.14"/>
    <col collapsed="false" customWidth="true" hidden="true" outlineLevel="0" max="18" min="18" style="314" width="9.57"/>
    <col collapsed="false" customWidth="true" hidden="true" outlineLevel="0" max="19" min="19" style="312" width="9.57"/>
    <col collapsed="false" customWidth="false" hidden="true" outlineLevel="0" max="64" min="20" style="312" width="9.14"/>
    <col collapsed="false" customWidth="false" hidden="true" outlineLevel="0" max="256" min="65" style="0" width="9.14"/>
    <col collapsed="false" customWidth="true" hidden="true" outlineLevel="0" max="257" min="257" style="0" width="7.71"/>
    <col collapsed="false" customWidth="true" hidden="true" outlineLevel="0" max="258" min="258" style="0" width="14.43"/>
    <col collapsed="false" customWidth="true" hidden="true" outlineLevel="0" max="259" min="259" style="0" width="10.57"/>
    <col collapsed="false" customWidth="true" hidden="true" outlineLevel="0" max="260" min="260" style="0" width="11.57"/>
    <col collapsed="false" customWidth="true" hidden="true" outlineLevel="0" max="261" min="261" style="0" width="12.85"/>
    <col collapsed="false" customWidth="true" hidden="true" outlineLevel="0" max="262" min="262" style="0" width="12"/>
    <col collapsed="false" customWidth="true" hidden="true" outlineLevel="0" max="263" min="263" style="0" width="12.85"/>
    <col collapsed="false" customWidth="true" hidden="true" outlineLevel="0" max="264" min="264" style="0" width="12.14"/>
    <col collapsed="false" customWidth="true" hidden="true" outlineLevel="0" max="265" min="265" style="0" width="11.57"/>
    <col collapsed="false" customWidth="true" hidden="true" outlineLevel="0" max="266" min="266" style="0" width="12.14"/>
    <col collapsed="false" customWidth="true" hidden="true" outlineLevel="0" max="267" min="267" style="0" width="12.43"/>
    <col collapsed="false" customWidth="true" hidden="true" outlineLevel="0" max="268" min="268" style="0" width="13.43"/>
    <col collapsed="false" customWidth="true" hidden="true" outlineLevel="0" max="271" min="269" style="0" width="13.57"/>
    <col collapsed="false" customWidth="true" hidden="true" outlineLevel="0" max="272" min="272" style="0" width="4.57"/>
    <col collapsed="false" customWidth="false" hidden="true" outlineLevel="0" max="273" min="273" style="0" width="9.14"/>
    <col collapsed="false" customWidth="true" hidden="true" outlineLevel="0" max="275" min="274" style="0" width="9.57"/>
    <col collapsed="false" customWidth="false" hidden="true" outlineLevel="0" max="512" min="276" style="0" width="9.14"/>
    <col collapsed="false" customWidth="true" hidden="true" outlineLevel="0" max="513" min="513" style="0" width="7.71"/>
    <col collapsed="false" customWidth="true" hidden="true" outlineLevel="0" max="514" min="514" style="0" width="14.43"/>
    <col collapsed="false" customWidth="true" hidden="true" outlineLevel="0" max="515" min="515" style="0" width="10.57"/>
    <col collapsed="false" customWidth="true" hidden="true" outlineLevel="0" max="516" min="516" style="0" width="11.57"/>
    <col collapsed="false" customWidth="true" hidden="true" outlineLevel="0" max="517" min="517" style="0" width="12.85"/>
    <col collapsed="false" customWidth="true" hidden="true" outlineLevel="0" max="518" min="518" style="0" width="12"/>
    <col collapsed="false" customWidth="true" hidden="true" outlineLevel="0" max="519" min="519" style="0" width="12.85"/>
    <col collapsed="false" customWidth="true" hidden="true" outlineLevel="0" max="520" min="520" style="0" width="12.14"/>
    <col collapsed="false" customWidth="true" hidden="true" outlineLevel="0" max="521" min="521" style="0" width="11.57"/>
    <col collapsed="false" customWidth="true" hidden="true" outlineLevel="0" max="522" min="522" style="0" width="12.14"/>
    <col collapsed="false" customWidth="true" hidden="true" outlineLevel="0" max="523" min="523" style="0" width="12.43"/>
    <col collapsed="false" customWidth="true" hidden="true" outlineLevel="0" max="524" min="524" style="0" width="13.43"/>
    <col collapsed="false" customWidth="true" hidden="true" outlineLevel="0" max="527" min="525" style="0" width="13.57"/>
    <col collapsed="false" customWidth="true" hidden="true" outlineLevel="0" max="528" min="528" style="0" width="4.57"/>
    <col collapsed="false" customWidth="false" hidden="true" outlineLevel="0" max="529" min="529" style="0" width="9.14"/>
    <col collapsed="false" customWidth="true" hidden="true" outlineLevel="0" max="531" min="530" style="0" width="9.57"/>
    <col collapsed="false" customWidth="false" hidden="true" outlineLevel="0" max="768" min="532" style="0" width="9.14"/>
    <col collapsed="false" customWidth="true" hidden="true" outlineLevel="0" max="769" min="769" style="0" width="7.71"/>
    <col collapsed="false" customWidth="true" hidden="true" outlineLevel="0" max="770" min="770" style="0" width="14.43"/>
    <col collapsed="false" customWidth="true" hidden="true" outlineLevel="0" max="771" min="771" style="0" width="10.57"/>
    <col collapsed="false" customWidth="true" hidden="true" outlineLevel="0" max="772" min="772" style="0" width="11.57"/>
    <col collapsed="false" customWidth="true" hidden="true" outlineLevel="0" max="773" min="773" style="0" width="12.85"/>
    <col collapsed="false" customWidth="true" hidden="true" outlineLevel="0" max="774" min="774" style="0" width="12"/>
    <col collapsed="false" customWidth="true" hidden="true" outlineLevel="0" max="775" min="775" style="0" width="12.85"/>
    <col collapsed="false" customWidth="true" hidden="true" outlineLevel="0" max="776" min="776" style="0" width="12.14"/>
    <col collapsed="false" customWidth="true" hidden="true" outlineLevel="0" max="777" min="777" style="0" width="11.57"/>
    <col collapsed="false" customWidth="true" hidden="true" outlineLevel="0" max="778" min="778" style="0" width="12.14"/>
    <col collapsed="false" customWidth="true" hidden="true" outlineLevel="0" max="779" min="779" style="0" width="12.43"/>
    <col collapsed="false" customWidth="true" hidden="true" outlineLevel="0" max="780" min="780" style="0" width="13.43"/>
    <col collapsed="false" customWidth="true" hidden="true" outlineLevel="0" max="783" min="781" style="0" width="13.57"/>
    <col collapsed="false" customWidth="true" hidden="true" outlineLevel="0" max="784" min="784" style="0" width="4.57"/>
    <col collapsed="false" customWidth="false" hidden="true" outlineLevel="0" max="785" min="785" style="0" width="9.14"/>
    <col collapsed="false" customWidth="true" hidden="true" outlineLevel="0" max="787" min="786" style="0" width="9.57"/>
    <col collapsed="false" customWidth="false" hidden="true" outlineLevel="0" max="1024" min="788" style="0" width="9.14"/>
  </cols>
  <sheetData>
    <row r="1" customFormat="false" ht="33" hidden="false" customHeight="true" outlineLevel="0" collapsed="false">
      <c r="A1" s="315" t="s">
        <v>290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6"/>
      <c r="M1" s="316"/>
      <c r="N1" s="316"/>
      <c r="O1" s="316"/>
      <c r="P1" s="317"/>
      <c r="Q1" s="318"/>
      <c r="R1" s="319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  <c r="AG1" s="320"/>
      <c r="AH1" s="320"/>
      <c r="AI1" s="320"/>
      <c r="AJ1" s="320"/>
      <c r="AK1" s="320"/>
      <c r="AL1" s="320"/>
      <c r="AM1" s="320"/>
      <c r="AN1" s="320"/>
      <c r="AO1" s="320"/>
      <c r="AP1" s="320"/>
      <c r="AQ1" s="320"/>
      <c r="AR1" s="320"/>
      <c r="AS1" s="320"/>
      <c r="AT1" s="320"/>
      <c r="AU1" s="320"/>
      <c r="AV1" s="320"/>
      <c r="AW1" s="320"/>
      <c r="AX1" s="320"/>
      <c r="AY1" s="320"/>
      <c r="AZ1" s="320"/>
      <c r="BA1" s="320"/>
      <c r="BB1" s="320"/>
      <c r="BC1" s="320"/>
      <c r="BD1" s="320"/>
      <c r="BE1" s="320"/>
      <c r="BF1" s="320"/>
      <c r="BG1" s="320"/>
      <c r="BH1" s="320"/>
      <c r="BI1" s="320"/>
      <c r="BJ1" s="320"/>
      <c r="BK1" s="320"/>
      <c r="BL1" s="320"/>
    </row>
    <row r="2" customFormat="false" ht="13.8" hidden="false" customHeight="false" outlineLevel="0" collapsed="false">
      <c r="A2" s="321"/>
      <c r="B2" s="321"/>
      <c r="C2" s="322"/>
      <c r="D2" s="323"/>
      <c r="E2" s="323"/>
      <c r="F2" s="323"/>
      <c r="G2" s="323"/>
      <c r="H2" s="323"/>
      <c r="I2" s="323"/>
      <c r="J2" s="323"/>
      <c r="K2" s="323"/>
      <c r="L2" s="316"/>
      <c r="M2" s="316"/>
      <c r="N2" s="316"/>
      <c r="O2" s="316"/>
      <c r="P2" s="317"/>
      <c r="Q2" s="318"/>
      <c r="R2" s="319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  <c r="AH2" s="320"/>
      <c r="AI2" s="320"/>
      <c r="AJ2" s="320"/>
      <c r="AK2" s="320"/>
      <c r="AL2" s="320"/>
      <c r="AM2" s="320"/>
      <c r="AN2" s="320"/>
      <c r="AO2" s="320"/>
      <c r="AP2" s="320"/>
      <c r="AQ2" s="320"/>
      <c r="AR2" s="320"/>
      <c r="AS2" s="320"/>
      <c r="AT2" s="320"/>
      <c r="AU2" s="320"/>
      <c r="AV2" s="320"/>
      <c r="AW2" s="320"/>
      <c r="AX2" s="320"/>
      <c r="AY2" s="320"/>
      <c r="AZ2" s="320"/>
      <c r="BA2" s="320"/>
      <c r="BB2" s="320"/>
      <c r="BC2" s="320"/>
      <c r="BD2" s="320"/>
      <c r="BE2" s="320"/>
      <c r="BF2" s="320"/>
      <c r="BG2" s="320"/>
      <c r="BH2" s="320"/>
      <c r="BI2" s="320"/>
      <c r="BJ2" s="320"/>
      <c r="BK2" s="320"/>
      <c r="BL2" s="320"/>
    </row>
    <row r="3" customFormat="false" ht="18.75" hidden="false" customHeight="true" outlineLevel="0" collapsed="false">
      <c r="A3" s="324" t="str">
        <f aca="false">"Сумма кредита, "&amp;Анализ!D6</f>
        <v>Сумма кредита, грн.</v>
      </c>
      <c r="B3" s="324"/>
      <c r="C3" s="324"/>
      <c r="D3" s="325" t="n">
        <f aca="false">IF(F3=0,Анализ!D17,'Кредитный калькулятор'!F3)</f>
        <v>69000</v>
      </c>
      <c r="E3" s="326" t="s">
        <v>291</v>
      </c>
      <c r="F3" s="327"/>
      <c r="G3" s="328" t="s">
        <v>292</v>
      </c>
      <c r="H3" s="328"/>
      <c r="I3" s="328"/>
      <c r="J3" s="328"/>
      <c r="K3" s="328"/>
      <c r="L3" s="329"/>
      <c r="M3" s="329"/>
      <c r="N3" s="330"/>
      <c r="O3" s="330"/>
      <c r="P3" s="330"/>
      <c r="Q3" s="331"/>
      <c r="R3" s="332"/>
      <c r="S3" s="333"/>
      <c r="T3" s="334"/>
      <c r="U3" s="334"/>
      <c r="V3" s="334"/>
      <c r="W3" s="334"/>
      <c r="X3" s="334"/>
      <c r="Y3" s="334"/>
      <c r="Z3" s="334"/>
      <c r="AA3" s="334"/>
      <c r="AB3" s="334"/>
      <c r="AC3" s="334"/>
      <c r="AD3" s="334"/>
      <c r="AE3" s="334"/>
      <c r="AF3" s="334"/>
      <c r="AG3" s="334"/>
      <c r="AH3" s="334"/>
      <c r="AI3" s="334"/>
      <c r="AJ3" s="334"/>
      <c r="AK3" s="334"/>
      <c r="AL3" s="334"/>
      <c r="AM3" s="334"/>
      <c r="AN3" s="334"/>
      <c r="AO3" s="334"/>
      <c r="AP3" s="334"/>
      <c r="AQ3" s="334"/>
      <c r="AR3" s="334"/>
      <c r="AS3" s="334"/>
      <c r="AT3" s="334"/>
      <c r="AU3" s="334"/>
      <c r="AV3" s="334"/>
      <c r="AW3" s="334"/>
      <c r="AX3" s="334"/>
      <c r="AY3" s="334"/>
      <c r="AZ3" s="334"/>
      <c r="BA3" s="334"/>
      <c r="BB3" s="334"/>
      <c r="BC3" s="334"/>
      <c r="BD3" s="334"/>
      <c r="BE3" s="334"/>
      <c r="BF3" s="334"/>
      <c r="BG3" s="334"/>
      <c r="BH3" s="334"/>
      <c r="BI3" s="334"/>
      <c r="BJ3" s="334"/>
      <c r="BK3" s="334"/>
      <c r="BL3" s="334"/>
    </row>
    <row r="4" customFormat="false" ht="18" hidden="false" customHeight="true" outlineLevel="0" collapsed="false">
      <c r="A4" s="335" t="s">
        <v>293</v>
      </c>
      <c r="B4" s="335"/>
      <c r="C4" s="335"/>
      <c r="D4" s="336" t="n">
        <f aca="false">IF(F4=0,Анализ!D20,'Кредитный калькулятор'!F4)</f>
        <v>20</v>
      </c>
      <c r="E4" s="326" t="s">
        <v>291</v>
      </c>
      <c r="F4" s="337"/>
      <c r="G4" s="328"/>
      <c r="H4" s="328"/>
      <c r="I4" s="328"/>
      <c r="J4" s="328"/>
      <c r="K4" s="328"/>
      <c r="L4" s="338"/>
      <c r="M4" s="338"/>
      <c r="N4" s="330"/>
      <c r="O4" s="330"/>
      <c r="P4" s="330"/>
      <c r="Q4" s="331"/>
      <c r="R4" s="332"/>
      <c r="S4" s="333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4"/>
      <c r="BE4" s="334"/>
      <c r="BF4" s="334"/>
      <c r="BG4" s="334"/>
      <c r="BH4" s="334"/>
      <c r="BI4" s="334"/>
      <c r="BJ4" s="334"/>
      <c r="BK4" s="334"/>
      <c r="BL4" s="334"/>
    </row>
    <row r="5" customFormat="false" ht="18" hidden="false" customHeight="true" outlineLevel="0" collapsed="false">
      <c r="A5" s="335" t="s">
        <v>294</v>
      </c>
      <c r="B5" s="335"/>
      <c r="C5" s="335"/>
      <c r="D5" s="339" t="n">
        <f aca="false">IF(F5=0,Анализ!D19,'Кредитный калькулятор'!F5)</f>
        <v>12</v>
      </c>
      <c r="E5" s="326" t="s">
        <v>291</v>
      </c>
      <c r="F5" s="340"/>
      <c r="G5" s="328"/>
      <c r="H5" s="328"/>
      <c r="I5" s="328"/>
      <c r="J5" s="328"/>
      <c r="K5" s="328"/>
      <c r="L5" s="341"/>
      <c r="M5" s="341"/>
      <c r="N5" s="330"/>
      <c r="O5" s="330"/>
      <c r="P5" s="330"/>
      <c r="Q5" s="331"/>
      <c r="R5" s="332"/>
      <c r="S5" s="333"/>
      <c r="T5" s="334"/>
      <c r="U5" s="334"/>
      <c r="V5" s="334"/>
      <c r="W5" s="334"/>
      <c r="X5" s="334"/>
      <c r="Y5" s="334"/>
      <c r="Z5" s="334"/>
      <c r="AA5" s="334"/>
      <c r="AB5" s="334"/>
      <c r="AC5" s="334"/>
      <c r="AD5" s="334"/>
      <c r="AE5" s="334"/>
      <c r="AF5" s="334"/>
      <c r="AG5" s="334"/>
      <c r="AH5" s="334"/>
      <c r="AI5" s="334"/>
      <c r="AJ5" s="334"/>
      <c r="AK5" s="334"/>
      <c r="AL5" s="334"/>
      <c r="AM5" s="334"/>
      <c r="AN5" s="334"/>
      <c r="AO5" s="334"/>
      <c r="AP5" s="334"/>
      <c r="AQ5" s="334"/>
      <c r="AR5" s="334"/>
      <c r="AS5" s="334"/>
      <c r="AT5" s="334"/>
      <c r="AU5" s="334"/>
      <c r="AV5" s="334"/>
      <c r="AW5" s="334"/>
      <c r="AX5" s="334"/>
      <c r="AY5" s="334"/>
      <c r="AZ5" s="334"/>
      <c r="BA5" s="334"/>
      <c r="BB5" s="334"/>
      <c r="BC5" s="334"/>
      <c r="BD5" s="334"/>
      <c r="BE5" s="334"/>
      <c r="BF5" s="334"/>
      <c r="BG5" s="334"/>
      <c r="BH5" s="334"/>
      <c r="BI5" s="334"/>
      <c r="BJ5" s="334"/>
      <c r="BK5" s="334"/>
      <c r="BL5" s="334"/>
    </row>
    <row r="6" customFormat="false" ht="18" hidden="false" customHeight="true" outlineLevel="0" collapsed="false">
      <c r="A6" s="342" t="s">
        <v>295</v>
      </c>
      <c r="B6" s="342"/>
      <c r="C6" s="342"/>
      <c r="D6" s="343" t="n">
        <f aca="false">IF(F6=0,Анализ!D21,'Кредитный калькулятор'!F6)</f>
        <v>43862</v>
      </c>
      <c r="E6" s="326" t="s">
        <v>291</v>
      </c>
      <c r="F6" s="344"/>
      <c r="G6" s="345" t="s">
        <v>296</v>
      </c>
      <c r="H6" s="345"/>
      <c r="I6" s="345"/>
      <c r="J6" s="345"/>
      <c r="K6" s="345"/>
      <c r="L6" s="341"/>
      <c r="M6" s="341"/>
      <c r="N6" s="341"/>
      <c r="O6" s="341"/>
      <c r="P6" s="346"/>
      <c r="Q6" s="331"/>
      <c r="R6" s="332"/>
      <c r="S6" s="333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334"/>
      <c r="AO6" s="334"/>
      <c r="AP6" s="334"/>
      <c r="AQ6" s="334"/>
      <c r="AR6" s="334"/>
      <c r="AS6" s="334"/>
      <c r="AT6" s="334"/>
      <c r="AU6" s="334"/>
      <c r="AV6" s="334"/>
      <c r="AW6" s="334"/>
      <c r="AX6" s="334"/>
      <c r="AY6" s="334"/>
      <c r="AZ6" s="334"/>
      <c r="BA6" s="334"/>
      <c r="BB6" s="334"/>
      <c r="BC6" s="334"/>
      <c r="BD6" s="334"/>
      <c r="BE6" s="334"/>
      <c r="BF6" s="334"/>
      <c r="BG6" s="334"/>
      <c r="BH6" s="334"/>
      <c r="BI6" s="334"/>
      <c r="BJ6" s="334"/>
      <c r="BK6" s="334"/>
      <c r="BL6" s="334"/>
    </row>
    <row r="7" s="352" customFormat="true" ht="12.8" hidden="false" customHeight="false" outlineLevel="0" collapsed="false">
      <c r="A7" s="347"/>
      <c r="B7" s="347"/>
      <c r="C7" s="348"/>
      <c r="D7" s="348"/>
      <c r="E7" s="348"/>
      <c r="F7" s="349"/>
      <c r="G7" s="349"/>
      <c r="H7" s="349"/>
      <c r="I7" s="349"/>
      <c r="J7" s="349"/>
      <c r="K7" s="349"/>
      <c r="L7" s="350"/>
      <c r="M7" s="350"/>
      <c r="N7" s="350"/>
      <c r="O7" s="350"/>
      <c r="P7" s="351"/>
      <c r="Q7" s="318"/>
      <c r="R7" s="319"/>
      <c r="S7" s="320"/>
    </row>
    <row r="8" customFormat="false" ht="12.75" hidden="false" customHeight="true" outlineLevel="0" collapsed="false">
      <c r="A8" s="353" t="s">
        <v>297</v>
      </c>
      <c r="B8" s="354" t="s">
        <v>298</v>
      </c>
      <c r="C8" s="355" t="s">
        <v>299</v>
      </c>
      <c r="D8" s="356" t="s">
        <v>300</v>
      </c>
      <c r="E8" s="356"/>
      <c r="F8" s="356"/>
      <c r="G8" s="356"/>
      <c r="H8" s="357" t="s">
        <v>301</v>
      </c>
      <c r="I8" s="357"/>
      <c r="J8" s="357"/>
      <c r="K8" s="357"/>
      <c r="L8" s="358" t="s">
        <v>302</v>
      </c>
      <c r="M8" s="358"/>
      <c r="N8" s="359"/>
      <c r="O8" s="359"/>
      <c r="P8" s="346"/>
      <c r="Q8" s="331"/>
      <c r="R8" s="332"/>
      <c r="S8" s="333"/>
      <c r="T8" s="334"/>
      <c r="U8" s="334"/>
      <c r="V8" s="334"/>
      <c r="W8" s="334"/>
      <c r="X8" s="334"/>
      <c r="Y8" s="334"/>
      <c r="Z8" s="334"/>
      <c r="AA8" s="334"/>
      <c r="AB8" s="334"/>
      <c r="AC8" s="334"/>
      <c r="AD8" s="334"/>
      <c r="AE8" s="334"/>
      <c r="AF8" s="334"/>
      <c r="AG8" s="334"/>
      <c r="AH8" s="334"/>
      <c r="AI8" s="334"/>
      <c r="AJ8" s="334"/>
      <c r="AK8" s="334"/>
      <c r="AL8" s="334"/>
      <c r="AM8" s="334"/>
      <c r="AN8" s="334"/>
      <c r="AO8" s="334"/>
      <c r="AP8" s="334"/>
      <c r="AQ8" s="334"/>
      <c r="AR8" s="334"/>
      <c r="AS8" s="334"/>
      <c r="AT8" s="334"/>
      <c r="AU8" s="334"/>
      <c r="AV8" s="334"/>
      <c r="AW8" s="334"/>
      <c r="AX8" s="334"/>
      <c r="AY8" s="334"/>
      <c r="AZ8" s="334"/>
      <c r="BA8" s="334"/>
      <c r="BB8" s="334"/>
      <c r="BC8" s="334"/>
      <c r="BD8" s="334"/>
      <c r="BE8" s="334"/>
      <c r="BF8" s="334"/>
      <c r="BG8" s="334"/>
      <c r="BH8" s="334"/>
      <c r="BI8" s="334"/>
      <c r="BJ8" s="334"/>
      <c r="BK8" s="334"/>
      <c r="BL8" s="334"/>
    </row>
    <row r="9" customFormat="false" ht="41.75" hidden="false" customHeight="false" outlineLevel="0" collapsed="false">
      <c r="A9" s="353"/>
      <c r="B9" s="354"/>
      <c r="C9" s="355"/>
      <c r="D9" s="360" t="s">
        <v>303</v>
      </c>
      <c r="E9" s="361" t="s">
        <v>304</v>
      </c>
      <c r="F9" s="361" t="s">
        <v>305</v>
      </c>
      <c r="G9" s="362" t="s">
        <v>306</v>
      </c>
      <c r="H9" s="360" t="s">
        <v>303</v>
      </c>
      <c r="I9" s="361" t="s">
        <v>304</v>
      </c>
      <c r="J9" s="361" t="s">
        <v>305</v>
      </c>
      <c r="K9" s="363" t="s">
        <v>306</v>
      </c>
      <c r="L9" s="364" t="s">
        <v>307</v>
      </c>
      <c r="M9" s="365" t="s">
        <v>308</v>
      </c>
      <c r="N9" s="359"/>
      <c r="O9" s="359"/>
      <c r="P9" s="346"/>
      <c r="Q9" s="331"/>
      <c r="R9" s="332"/>
      <c r="S9" s="333"/>
      <c r="T9" s="334"/>
      <c r="U9" s="334"/>
      <c r="V9" s="334"/>
      <c r="W9" s="334"/>
      <c r="X9" s="334"/>
      <c r="Y9" s="334"/>
      <c r="Z9" s="334"/>
      <c r="AA9" s="334"/>
      <c r="AB9" s="334"/>
      <c r="AC9" s="334"/>
      <c r="AD9" s="334"/>
      <c r="AE9" s="334"/>
      <c r="AF9" s="334"/>
      <c r="AG9" s="334"/>
      <c r="AH9" s="334"/>
      <c r="AI9" s="334"/>
      <c r="AJ9" s="334"/>
      <c r="AK9" s="334"/>
      <c r="AL9" s="334"/>
      <c r="AM9" s="334"/>
      <c r="AN9" s="334"/>
      <c r="AO9" s="334"/>
      <c r="AP9" s="334"/>
      <c r="AQ9" s="334"/>
      <c r="AR9" s="334"/>
      <c r="AS9" s="334"/>
      <c r="AT9" s="334"/>
      <c r="AU9" s="334"/>
      <c r="AV9" s="334"/>
      <c r="AW9" s="334"/>
      <c r="AX9" s="334"/>
      <c r="AY9" s="334"/>
      <c r="AZ9" s="334"/>
      <c r="BA9" s="334"/>
      <c r="BB9" s="334"/>
      <c r="BC9" s="334"/>
      <c r="BD9" s="334"/>
      <c r="BE9" s="334"/>
      <c r="BF9" s="334"/>
      <c r="BG9" s="334"/>
      <c r="BH9" s="334"/>
      <c r="BI9" s="334"/>
      <c r="BJ9" s="334"/>
      <c r="BK9" s="334"/>
      <c r="BL9" s="334"/>
    </row>
    <row r="10" s="379" customFormat="true" ht="13.8" hidden="false" customHeight="false" outlineLevel="0" collapsed="false">
      <c r="A10" s="366" t="s">
        <v>309</v>
      </c>
      <c r="B10" s="367"/>
      <c r="C10" s="368" t="n">
        <f aca="false">$D$6</f>
        <v>43862</v>
      </c>
      <c r="D10" s="369" t="n">
        <f aca="false">E10+F10</f>
        <v>76659.5813696687</v>
      </c>
      <c r="E10" s="370" t="n">
        <f aca="false">SUM(E11:E522)+SUM(L11:M522)</f>
        <v>69000</v>
      </c>
      <c r="F10" s="371" t="n">
        <f aca="false">SUM(F11:F522)</f>
        <v>7659.58136966867</v>
      </c>
      <c r="G10" s="372" t="n">
        <f aca="false">$D$3</f>
        <v>69000</v>
      </c>
      <c r="H10" s="373" t="n">
        <f aca="false">I10+J10</f>
        <v>76475</v>
      </c>
      <c r="I10" s="370" t="n">
        <f aca="false">SUM(I11:I522)+SUM(L11:M522)</f>
        <v>69000</v>
      </c>
      <c r="J10" s="371" t="n">
        <f aca="false">SUM(J11:J522)</f>
        <v>7475</v>
      </c>
      <c r="K10" s="374" t="n">
        <f aca="false">$D$3</f>
        <v>69000</v>
      </c>
      <c r="L10" s="375"/>
      <c r="M10" s="376"/>
      <c r="N10" s="377"/>
      <c r="O10" s="377"/>
      <c r="P10" s="378" t="n">
        <f aca="false">ROW(P10)</f>
        <v>10</v>
      </c>
      <c r="Q10" s="314"/>
      <c r="R10" s="314"/>
      <c r="S10" s="312"/>
    </row>
    <row r="11" s="379" customFormat="true" ht="14.9" hidden="false" customHeight="false" outlineLevel="0" collapsed="false">
      <c r="A11" s="380" t="n">
        <v>1</v>
      </c>
      <c r="B11" s="381" t="str">
        <f aca="false">CONCATENATE(INT((A11-1)/12)+1,"-й год ",A11-1-INT((A11-1)/12)*12+1,"-й мес")</f>
        <v>1-й год 1-й мес</v>
      </c>
      <c r="C11" s="382" t="n">
        <f aca="false">DATE(YEAR(C10),MONTH(C10)+1,DAY(C10))</f>
        <v>43891</v>
      </c>
      <c r="D11" s="383" t="n">
        <f aca="false">IFERROR(IF(R11*$D$4/100/12/(1-(1+$D$4/100/12)^(-Q11))&lt;G10,ROUNDUP(R11*$D$4/100/12/(1-(1+$D$4/100/12)^(-Q11)),0),G10+F11),0)</f>
        <v>6392</v>
      </c>
      <c r="E11" s="384" t="n">
        <f aca="false">D11-F11</f>
        <v>5298.55737704918</v>
      </c>
      <c r="F11" s="384" t="n">
        <f aca="false">$D$3*$D$4*(C11-C10)/(DATE(YEAR(C11)+1,1,1)-DATE(YEAR(C11),1,1))/100</f>
        <v>1093.44262295082</v>
      </c>
      <c r="G11" s="385" t="n">
        <f aca="false">G10-E11-L11-M11</f>
        <v>63701.4426229508</v>
      </c>
      <c r="H11" s="386" t="n">
        <f aca="false">IFERROR(I11+J11,0)</f>
        <v>6900</v>
      </c>
      <c r="I11" s="384" t="n">
        <f aca="false">IFERROR(IF($D$3/$D$5&lt;K10,$D$3/$D$5,K10),0)</f>
        <v>5750</v>
      </c>
      <c r="J11" s="384" t="n">
        <f aca="false">IFERROR(K10*$D$4/12/100,0)</f>
        <v>1150</v>
      </c>
      <c r="K11" s="387" t="n">
        <f aca="false">K10-I11-L11-M11</f>
        <v>63250</v>
      </c>
      <c r="L11" s="388"/>
      <c r="M11" s="389"/>
      <c r="N11" s="390"/>
      <c r="O11" s="390"/>
      <c r="P11" s="391" t="n">
        <f aca="false">IF(ISBLANK(L10),VALUE(P10),ROW(L10))</f>
        <v>10</v>
      </c>
      <c r="Q11" s="314" t="n">
        <f aca="false">$D$5</f>
        <v>12</v>
      </c>
      <c r="R11" s="314" t="n">
        <f aca="false">INDEX(G:G,P11,1)</f>
        <v>69000</v>
      </c>
      <c r="S11" s="312"/>
    </row>
    <row r="12" s="379" customFormat="true" ht="14.9" hidden="false" customHeight="false" outlineLevel="0" collapsed="false">
      <c r="A12" s="380" t="n">
        <v>2</v>
      </c>
      <c r="B12" s="381" t="str">
        <f aca="false">CONCATENATE(INT((A12-1)/12)+1,"-й год ",A12-1-INT((A12-1)/12)*12+1,"-й мес")</f>
        <v>1-й год 2-й мес</v>
      </c>
      <c r="C12" s="382" t="n">
        <f aca="false">DATE(YEAR(C11),MONTH(C11)+1,DAY(C11))</f>
        <v>43922</v>
      </c>
      <c r="D12" s="383" t="n">
        <f aca="false">IFERROR(IF(R12*$D$4/100/12/(1-(1+$D$4/100/12)^(-Q12))&lt;G11,ROUNDUP(R12*$D$4/100/12/(1-(1+$D$4/100/12)^(-Q12)),0),G11+F12),0)</f>
        <v>6392</v>
      </c>
      <c r="E12" s="384" t="n">
        <f aca="false">D12-F12</f>
        <v>5312.90452387351</v>
      </c>
      <c r="F12" s="384" t="n">
        <f aca="false">G11*$D$4*(C12-C11)/(DATE(YEAR(C12)+1,1,1)-DATE(YEAR(C12),1,1))/100</f>
        <v>1079.09547612649</v>
      </c>
      <c r="G12" s="385" t="n">
        <f aca="false">G11-E12-L12-M12</f>
        <v>58388.5380990773</v>
      </c>
      <c r="H12" s="386" t="n">
        <f aca="false">IFERROR(I12+J12,0)</f>
        <v>6804.16666666667</v>
      </c>
      <c r="I12" s="384" t="n">
        <f aca="false">IFERROR(IF($D$3/$D$5&lt;K11,$D$3/$D$5,K11),0)</f>
        <v>5750</v>
      </c>
      <c r="J12" s="384" t="n">
        <f aca="false">K11*$D$4/12/100</f>
        <v>1054.16666666667</v>
      </c>
      <c r="K12" s="387" t="n">
        <f aca="false">K11-I12-L12-M12</f>
        <v>57500</v>
      </c>
      <c r="L12" s="388"/>
      <c r="M12" s="389"/>
      <c r="N12" s="390"/>
      <c r="O12" s="390"/>
      <c r="P12" s="391" t="n">
        <f aca="false">IF(ISBLANK(L11),VALUE(P11),ROW(L11))</f>
        <v>10</v>
      </c>
      <c r="Q12" s="314" t="n">
        <f aca="false">Q11+P11-P12</f>
        <v>12</v>
      </c>
      <c r="R12" s="314" t="n">
        <f aca="false">INDEX(G:G,P12,1)</f>
        <v>69000</v>
      </c>
      <c r="S12" s="312"/>
    </row>
    <row r="13" s="379" customFormat="true" ht="14.9" hidden="false" customHeight="false" outlineLevel="0" collapsed="false">
      <c r="A13" s="380" t="n">
        <v>3</v>
      </c>
      <c r="B13" s="381" t="str">
        <f aca="false">CONCATENATE(INT((A13-1)/12)+1,"-й год ",A13-1-INT((A13-1)/12)*12+1,"-й мес")</f>
        <v>1-й год 3-й мес</v>
      </c>
      <c r="C13" s="382" t="n">
        <f aca="false">DATE(YEAR(C12),MONTH(C12)+1,DAY(C12))</f>
        <v>43952</v>
      </c>
      <c r="D13" s="383" t="n">
        <f aca="false">IFERROR(IF(R13*$D$4/100/12/(1-(1+$D$4/100/12)^(-Q13))&lt;G12,ROUNDUP(R13*$D$4/100/12/(1-(1+$D$4/100/12)^(-Q13)),0),G12+F13),0)</f>
        <v>6392</v>
      </c>
      <c r="E13" s="384" t="n">
        <f aca="false">D13-F13</f>
        <v>5434.8108508348</v>
      </c>
      <c r="F13" s="384" t="n">
        <f aca="false">G12*$D$4*(C13-C12)/(DATE(YEAR(C13)+1,1,1)-DATE(YEAR(C13),1,1))/100</f>
        <v>957.189149165202</v>
      </c>
      <c r="G13" s="385" t="n">
        <f aca="false">G12-E13-L13-M13</f>
        <v>52953.7272482425</v>
      </c>
      <c r="H13" s="386" t="n">
        <f aca="false">IFERROR(I13+J13,0)</f>
        <v>6708.33333333333</v>
      </c>
      <c r="I13" s="384" t="n">
        <f aca="false">IFERROR(IF($D$3/$D$5&lt;K12,$D$3/$D$5,K12),0)</f>
        <v>5750</v>
      </c>
      <c r="J13" s="384" t="n">
        <f aca="false">K12*$D$4/12/100</f>
        <v>958.333333333333</v>
      </c>
      <c r="K13" s="387" t="n">
        <f aca="false">K12-I13-L13-M13</f>
        <v>51750</v>
      </c>
      <c r="L13" s="388"/>
      <c r="M13" s="389"/>
      <c r="N13" s="390"/>
      <c r="O13" s="390"/>
      <c r="P13" s="391" t="n">
        <f aca="false">IF(ISBLANK(L12),VALUE(P12),ROW(L12))</f>
        <v>10</v>
      </c>
      <c r="Q13" s="314" t="n">
        <f aca="false">Q12+P12-P13</f>
        <v>12</v>
      </c>
      <c r="R13" s="314" t="n">
        <f aca="false">INDEX(G:G,P13,1)</f>
        <v>69000</v>
      </c>
      <c r="S13" s="312"/>
    </row>
    <row r="14" s="379" customFormat="true" ht="14.9" hidden="false" customHeight="false" outlineLevel="0" collapsed="false">
      <c r="A14" s="380" t="n">
        <v>4</v>
      </c>
      <c r="B14" s="381" t="str">
        <f aca="false">CONCATENATE(INT((A14-1)/12)+1,"-й год ",A14-1-INT((A14-1)/12)*12+1,"-й мес")</f>
        <v>1-й год 4-й мес</v>
      </c>
      <c r="C14" s="382" t="n">
        <f aca="false">DATE(YEAR(C13),MONTH(C13)+1,DAY(C13))</f>
        <v>43983</v>
      </c>
      <c r="D14" s="383" t="n">
        <f aca="false">IFERROR(IF(R14*$D$4/100/12/(1-(1+$D$4/100/12)^(-Q14))&lt;G13,ROUNDUP(R14*$D$4/100/12/(1-(1+$D$4/100/12)^(-Q14)),0),G13+F14),0)</f>
        <v>6392</v>
      </c>
      <c r="E14" s="384" t="n">
        <f aca="false">D14-F14</f>
        <v>5494.96964770737</v>
      </c>
      <c r="F14" s="384" t="n">
        <f aca="false">G13*$D$4*(C14-C13)/(DATE(YEAR(C14)+1,1,1)-DATE(YEAR(C14),1,1))/100</f>
        <v>897.030352292632</v>
      </c>
      <c r="G14" s="385" t="n">
        <f aca="false">G13-E14-L14-M14</f>
        <v>47458.7576005351</v>
      </c>
      <c r="H14" s="386" t="n">
        <f aca="false">IFERROR(I14+J14,0)</f>
        <v>6612.5</v>
      </c>
      <c r="I14" s="384" t="n">
        <f aca="false">IFERROR(IF($D$3/$D$5&lt;K13,$D$3/$D$5,K13),0)</f>
        <v>5750</v>
      </c>
      <c r="J14" s="384" t="n">
        <f aca="false">K13*$D$4/12/100</f>
        <v>862.5</v>
      </c>
      <c r="K14" s="387" t="n">
        <f aca="false">K13-I14-L14-M14</f>
        <v>46000</v>
      </c>
      <c r="L14" s="388"/>
      <c r="M14" s="389"/>
      <c r="N14" s="390"/>
      <c r="O14" s="390"/>
      <c r="P14" s="391" t="n">
        <f aca="false">IF(ISBLANK(L13),VALUE(P13),ROW(L13))</f>
        <v>10</v>
      </c>
      <c r="Q14" s="314" t="n">
        <f aca="false">Q13+P13-P14</f>
        <v>12</v>
      </c>
      <c r="R14" s="314" t="n">
        <f aca="false">INDEX(G:G,P14,1)</f>
        <v>69000</v>
      </c>
      <c r="S14" s="312"/>
    </row>
    <row r="15" s="379" customFormat="true" ht="14.9" hidden="false" customHeight="false" outlineLevel="0" collapsed="false">
      <c r="A15" s="380" t="n">
        <v>5</v>
      </c>
      <c r="B15" s="381" t="str">
        <f aca="false">CONCATENATE(INT((A15-1)/12)+1,"-й год ",A15-1-INT((A15-1)/12)*12+1,"-й мес")</f>
        <v>1-й год 5-й мес</v>
      </c>
      <c r="C15" s="382" t="n">
        <f aca="false">DATE(YEAR(C14),MONTH(C14)+1,DAY(C14))</f>
        <v>44013</v>
      </c>
      <c r="D15" s="383" t="n">
        <f aca="false">IFERROR(IF(R15*$D$4/100/12/(1-(1+$D$4/100/12)^(-Q15))&lt;G14,ROUNDUP(R15*$D$4/100/12/(1-(1+$D$4/100/12)^(-Q15)),0),G14+F15),0)</f>
        <v>6392</v>
      </c>
      <c r="E15" s="384" t="n">
        <f aca="false">D15-F15</f>
        <v>5613.9875803191</v>
      </c>
      <c r="F15" s="384" t="n">
        <f aca="false">G14*$D$4*(C15-C14)/(DATE(YEAR(C15)+1,1,1)-DATE(YEAR(C15),1,1))/100</f>
        <v>778.012419680904</v>
      </c>
      <c r="G15" s="385" t="n">
        <f aca="false">G14-E15-L15-M15</f>
        <v>41844.770020216</v>
      </c>
      <c r="H15" s="386" t="n">
        <f aca="false">IFERROR(I15+J15,0)</f>
        <v>6516.66666666667</v>
      </c>
      <c r="I15" s="384" t="n">
        <f aca="false">IFERROR(IF($D$3/$D$5&lt;K14,$D$3/$D$5,K14),0)</f>
        <v>5750</v>
      </c>
      <c r="J15" s="384" t="n">
        <f aca="false">K14*$D$4/12/100</f>
        <v>766.666666666667</v>
      </c>
      <c r="K15" s="387" t="n">
        <f aca="false">K14-I15-L15-M15</f>
        <v>40250</v>
      </c>
      <c r="L15" s="388"/>
      <c r="M15" s="389"/>
      <c r="N15" s="390"/>
      <c r="O15" s="390"/>
      <c r="P15" s="391" t="n">
        <f aca="false">IF(ISBLANK(L14),VALUE(P14),ROW(L14))</f>
        <v>10</v>
      </c>
      <c r="Q15" s="314" t="n">
        <f aca="false">Q14+P14-P15</f>
        <v>12</v>
      </c>
      <c r="R15" s="314" t="n">
        <f aca="false">INDEX(G:G,P15,1)</f>
        <v>69000</v>
      </c>
      <c r="S15" s="312"/>
    </row>
    <row r="16" s="379" customFormat="true" ht="14.9" hidden="false" customHeight="false" outlineLevel="0" collapsed="false">
      <c r="A16" s="380" t="n">
        <v>6</v>
      </c>
      <c r="B16" s="381" t="str">
        <f aca="false">CONCATENATE(INT((A16-1)/12)+1,"-й год ",A16-1-INT((A16-1)/12)*12+1,"-й мес")</f>
        <v>1-й год 6-й мес</v>
      </c>
      <c r="C16" s="382" t="n">
        <f aca="false">DATE(YEAR(C15),MONTH(C15)+1,DAY(C15))</f>
        <v>44044</v>
      </c>
      <c r="D16" s="383" t="n">
        <f aca="false">IFERROR(IF(R16*$D$4/100/12/(1-(1+$D$4/100/12)^(-Q16))&lt;G15,ROUNDUP(R16*$D$4/100/12/(1-(1+$D$4/100/12)^(-Q16)),0),G15+F16),0)</f>
        <v>6392</v>
      </c>
      <c r="E16" s="384" t="n">
        <f aca="false">D16-F16</f>
        <v>5683.15416905645</v>
      </c>
      <c r="F16" s="384" t="n">
        <f aca="false">G15*$D$4*(C16-C15)/(DATE(YEAR(C16)+1,1,1)-DATE(YEAR(C16),1,1))/100</f>
        <v>708.84583094355</v>
      </c>
      <c r="G16" s="385" t="n">
        <f aca="false">G15-E16-L16-M16</f>
        <v>36161.6158511596</v>
      </c>
      <c r="H16" s="386" t="n">
        <f aca="false">IFERROR(I16+J16,0)</f>
        <v>6420.83333333333</v>
      </c>
      <c r="I16" s="384" t="n">
        <f aca="false">IFERROR(IF($D$3/$D$5&lt;K15,$D$3/$D$5,K15),0)</f>
        <v>5750</v>
      </c>
      <c r="J16" s="384" t="n">
        <f aca="false">K15*$D$4/12/100</f>
        <v>670.833333333333</v>
      </c>
      <c r="K16" s="387" t="n">
        <f aca="false">K15-I16-L16-M16</f>
        <v>34500</v>
      </c>
      <c r="L16" s="388"/>
      <c r="M16" s="389"/>
      <c r="N16" s="390"/>
      <c r="O16" s="390"/>
      <c r="P16" s="391" t="n">
        <f aca="false">IF(ISBLANK(L15),VALUE(P15),ROW(L15))</f>
        <v>10</v>
      </c>
      <c r="Q16" s="314" t="n">
        <f aca="false">Q15+P15-P16</f>
        <v>12</v>
      </c>
      <c r="R16" s="314" t="n">
        <f aca="false">INDEX(G:G,P16,1)</f>
        <v>69000</v>
      </c>
      <c r="S16" s="312"/>
    </row>
    <row r="17" s="379" customFormat="true" ht="14.9" hidden="false" customHeight="false" outlineLevel="0" collapsed="false">
      <c r="A17" s="380" t="n">
        <v>7</v>
      </c>
      <c r="B17" s="381" t="str">
        <f aca="false">CONCATENATE(INT((A17-1)/12)+1,"-й год ",A17-1-INT((A17-1)/12)*12+1,"-й мес")</f>
        <v>1-й год 7-й мес</v>
      </c>
      <c r="C17" s="382" t="n">
        <f aca="false">DATE(YEAR(C16),MONTH(C16)+1,DAY(C16))</f>
        <v>44075</v>
      </c>
      <c r="D17" s="383" t="n">
        <f aca="false">IFERROR(IF(R17*$D$4/100/12/(1-(1+$D$4/100/12)^(-Q17))&lt;G16,ROUNDUP(R17*$D$4/100/12/(1-(1+$D$4/100/12)^(-Q17)),0),G16+F17),0)</f>
        <v>6392</v>
      </c>
      <c r="E17" s="384" t="n">
        <f aca="false">D17-F17</f>
        <v>5779.42617957052</v>
      </c>
      <c r="F17" s="384" t="n">
        <f aca="false">G16*$D$4*(C17-C16)/(DATE(YEAR(C17)+1,1,1)-DATE(YEAR(C17),1,1))/100</f>
        <v>612.573820429479</v>
      </c>
      <c r="G17" s="385" t="n">
        <f aca="false">G16-E17-L17-M17</f>
        <v>30382.1896715891</v>
      </c>
      <c r="H17" s="386" t="n">
        <f aca="false">IFERROR(I17+J17,0)</f>
        <v>6325</v>
      </c>
      <c r="I17" s="384" t="n">
        <f aca="false">IFERROR(IF($D$3/$D$5&lt;K16,$D$3/$D$5,K16),0)</f>
        <v>5750</v>
      </c>
      <c r="J17" s="384" t="n">
        <f aca="false">K16*$D$4/12/100</f>
        <v>575</v>
      </c>
      <c r="K17" s="387" t="n">
        <f aca="false">K16-I17-L17-M17</f>
        <v>28750</v>
      </c>
      <c r="L17" s="388"/>
      <c r="M17" s="389"/>
      <c r="N17" s="390"/>
      <c r="O17" s="390"/>
      <c r="P17" s="391" t="n">
        <f aca="false">IF(ISBLANK(L16),VALUE(P16),ROW(L16))</f>
        <v>10</v>
      </c>
      <c r="Q17" s="314" t="n">
        <f aca="false">Q16+P16-P17</f>
        <v>12</v>
      </c>
      <c r="R17" s="314" t="n">
        <f aca="false">INDEX(G:G,P17,1)</f>
        <v>69000</v>
      </c>
      <c r="S17" s="312"/>
    </row>
    <row r="18" s="379" customFormat="true" ht="14.9" hidden="false" customHeight="false" outlineLevel="0" collapsed="false">
      <c r="A18" s="380" t="n">
        <v>8</v>
      </c>
      <c r="B18" s="381" t="str">
        <f aca="false">CONCATENATE(INT((A18-1)/12)+1,"-й год ",A18-1-INT((A18-1)/12)*12+1,"-й мес")</f>
        <v>1-й год 8-й мес</v>
      </c>
      <c r="C18" s="382" t="n">
        <f aca="false">DATE(YEAR(C17),MONTH(C17)+1,DAY(C17))</f>
        <v>44105</v>
      </c>
      <c r="D18" s="383" t="n">
        <f aca="false">IFERROR(IF(R18*$D$4/100/12/(1-(1+$D$4/100/12)^(-Q18))&lt;G17,ROUNDUP(R18*$D$4/100/12/(1-(1+$D$4/100/12)^(-Q18)),0),G17+F18),0)</f>
        <v>6392</v>
      </c>
      <c r="E18" s="384" t="n">
        <f aca="false">D18-F18</f>
        <v>5893.9313168592</v>
      </c>
      <c r="F18" s="384" t="n">
        <f aca="false">G17*$D$4*(C18-C17)/(DATE(YEAR(C18)+1,1,1)-DATE(YEAR(C18),1,1))/100</f>
        <v>498.068683140805</v>
      </c>
      <c r="G18" s="385" t="n">
        <f aca="false">G17-E18-L18-M18</f>
        <v>24488.2583547299</v>
      </c>
      <c r="H18" s="386" t="n">
        <f aca="false">IFERROR(I18+J18,0)</f>
        <v>6229.16666666667</v>
      </c>
      <c r="I18" s="384" t="n">
        <f aca="false">IFERROR(IF($D$3/$D$5&lt;K17,$D$3/$D$5,K17),0)</f>
        <v>5750</v>
      </c>
      <c r="J18" s="384" t="n">
        <f aca="false">K17*$D$4/12/100</f>
        <v>479.166666666667</v>
      </c>
      <c r="K18" s="387" t="n">
        <f aca="false">K17-I18-L18-M18</f>
        <v>23000</v>
      </c>
      <c r="L18" s="388"/>
      <c r="M18" s="389"/>
      <c r="N18" s="390"/>
      <c r="O18" s="390"/>
      <c r="P18" s="391" t="n">
        <f aca="false">IF(ISBLANK(L17),VALUE(P17),ROW(L17))</f>
        <v>10</v>
      </c>
      <c r="Q18" s="314" t="n">
        <f aca="false">Q17+P17-P18</f>
        <v>12</v>
      </c>
      <c r="R18" s="314" t="n">
        <f aca="false">INDEX(G:G,P18,1)</f>
        <v>69000</v>
      </c>
      <c r="S18" s="312"/>
    </row>
    <row r="19" s="379" customFormat="true" ht="14.9" hidden="false" customHeight="false" outlineLevel="0" collapsed="false">
      <c r="A19" s="380" t="n">
        <v>9</v>
      </c>
      <c r="B19" s="381" t="str">
        <f aca="false">CONCATENATE(INT((A19-1)/12)+1,"-й год ",A19-1-INT((A19-1)/12)*12+1,"-й мес")</f>
        <v>1-й год 9-й мес</v>
      </c>
      <c r="C19" s="382" t="n">
        <f aca="false">DATE(YEAR(C18),MONTH(C18)+1,DAY(C18))</f>
        <v>44136</v>
      </c>
      <c r="D19" s="383" t="n">
        <f aca="false">IFERROR(IF(R19*$D$4/100/12/(1-(1+$D$4/100/12)^(-Q19))&lt;G18,ROUNDUP(R19*$D$4/100/12/(1-(1+$D$4/100/12)^(-Q19)),0),G18+F19),0)</f>
        <v>6392</v>
      </c>
      <c r="E19" s="384" t="n">
        <f aca="false">D19-F19</f>
        <v>5977.17157978326</v>
      </c>
      <c r="F19" s="384" t="n">
        <f aca="false">G18*$D$4*(C19-C18)/(DATE(YEAR(C19)+1,1,1)-DATE(YEAR(C19),1,1))/100</f>
        <v>414.828420216736</v>
      </c>
      <c r="G19" s="385" t="n">
        <f aca="false">G18-E19-L19-M19</f>
        <v>18511.0867749466</v>
      </c>
      <c r="H19" s="386" t="n">
        <f aca="false">IFERROR(I19+J19,0)</f>
        <v>6133.33333333333</v>
      </c>
      <c r="I19" s="384" t="n">
        <f aca="false">IFERROR(IF($D$3/$D$5&lt;K18,$D$3/$D$5,K18),0)</f>
        <v>5750</v>
      </c>
      <c r="J19" s="384" t="n">
        <f aca="false">K18*$D$4/12/100</f>
        <v>383.333333333333</v>
      </c>
      <c r="K19" s="387" t="n">
        <f aca="false">K18-I19-L19-M19</f>
        <v>17250</v>
      </c>
      <c r="L19" s="388"/>
      <c r="M19" s="389"/>
      <c r="N19" s="390"/>
      <c r="O19" s="390"/>
      <c r="P19" s="391" t="n">
        <f aca="false">IF(ISBLANK(L18),VALUE(P18),ROW(L18))</f>
        <v>10</v>
      </c>
      <c r="Q19" s="314" t="n">
        <f aca="false">Q18+P18-P19</f>
        <v>12</v>
      </c>
      <c r="R19" s="314" t="n">
        <f aca="false">INDEX(G:G,P19,1)</f>
        <v>69000</v>
      </c>
      <c r="S19" s="312"/>
    </row>
    <row r="20" s="379" customFormat="true" ht="14.9" hidden="false" customHeight="false" outlineLevel="0" collapsed="false">
      <c r="A20" s="380" t="n">
        <v>10</v>
      </c>
      <c r="B20" s="381" t="str">
        <f aca="false">CONCATENATE(INT((A20-1)/12)+1,"-й год ",A20-1-INT((A20-1)/12)*12+1,"-й мес")</f>
        <v>1-й год 10-й мес</v>
      </c>
      <c r="C20" s="382" t="n">
        <f aca="false">DATE(YEAR(C19),MONTH(C19)+1,DAY(C19))</f>
        <v>44166</v>
      </c>
      <c r="D20" s="383" t="n">
        <f aca="false">IFERROR(IF(R20*$D$4/100/12/(1-(1+$D$4/100/12)^(-Q20))&lt;G19,ROUNDUP(R20*$D$4/100/12/(1-(1+$D$4/100/12)^(-Q20)),0),G19+F20),0)</f>
        <v>6392</v>
      </c>
      <c r="E20" s="384" t="n">
        <f aca="false">D20-F20</f>
        <v>6088.53956106645</v>
      </c>
      <c r="F20" s="384" t="n">
        <f aca="false">G19*$D$4*(C20-C19)/(DATE(YEAR(C20)+1,1,1)-DATE(YEAR(C20),1,1))/100</f>
        <v>303.460438933551</v>
      </c>
      <c r="G20" s="385" t="n">
        <f aca="false">G19-E20-L20-M20</f>
        <v>12422.5472138802</v>
      </c>
      <c r="H20" s="386" t="n">
        <f aca="false">IFERROR(I20+J20,0)</f>
        <v>6037.5</v>
      </c>
      <c r="I20" s="384" t="n">
        <f aca="false">IFERROR(IF($D$3/$D$5&lt;K19,$D$3/$D$5,K19),0)</f>
        <v>5750</v>
      </c>
      <c r="J20" s="384" t="n">
        <f aca="false">K19*$D$4/12/100</f>
        <v>287.5</v>
      </c>
      <c r="K20" s="387" t="n">
        <f aca="false">K19-I20-L20-M20</f>
        <v>11500</v>
      </c>
      <c r="L20" s="388"/>
      <c r="M20" s="389"/>
      <c r="N20" s="390"/>
      <c r="O20" s="390"/>
      <c r="P20" s="391" t="n">
        <f aca="false">IF(ISBLANK(L19),VALUE(P19),ROW(L19))</f>
        <v>10</v>
      </c>
      <c r="Q20" s="314" t="n">
        <f aca="false">Q19+P19-P20</f>
        <v>12</v>
      </c>
      <c r="R20" s="314" t="n">
        <f aca="false">INDEX(G:G,P20,1)</f>
        <v>69000</v>
      </c>
      <c r="S20" s="312"/>
    </row>
    <row r="21" s="379" customFormat="true" ht="14.9" hidden="false" customHeight="false" outlineLevel="0" collapsed="false">
      <c r="A21" s="380" t="n">
        <v>11</v>
      </c>
      <c r="B21" s="381" t="str">
        <f aca="false">CONCATENATE(INT((A21-1)/12)+1,"-й год ",A21-1-INT((A21-1)/12)*12+1,"-й мес")</f>
        <v>1-й год 11-й мес</v>
      </c>
      <c r="C21" s="382" t="n">
        <f aca="false">DATE(YEAR(C20),MONTH(C20)+1,DAY(C20))</f>
        <v>44197</v>
      </c>
      <c r="D21" s="383" t="n">
        <f aca="false">IFERROR(IF(R21*$D$4/100/12/(1-(1+$D$4/100/12)^(-Q21))&lt;G20,ROUNDUP(R21*$D$4/100/12/(1-(1+$D$4/100/12)^(-Q21)),0),G20+F21),0)</f>
        <v>6392</v>
      </c>
      <c r="E21" s="384" t="n">
        <f aca="false">D21-F21</f>
        <v>6180.98686924368</v>
      </c>
      <c r="F21" s="384" t="n">
        <f aca="false">G20*$D$4*(C21-C20)/(DATE(YEAR(C21)+1,1,1)-DATE(YEAR(C21),1,1))/100</f>
        <v>211.013130756321</v>
      </c>
      <c r="G21" s="385" t="n">
        <f aca="false">G20-E21-L21-M21</f>
        <v>6241.56034463648</v>
      </c>
      <c r="H21" s="386" t="n">
        <f aca="false">IFERROR(I21+J21,0)</f>
        <v>5941.66666666667</v>
      </c>
      <c r="I21" s="384" t="n">
        <f aca="false">IFERROR(IF($D$3/$D$5&lt;K20,$D$3/$D$5,K20),0)</f>
        <v>5750</v>
      </c>
      <c r="J21" s="384" t="n">
        <f aca="false">K20*$D$4/12/100</f>
        <v>191.666666666667</v>
      </c>
      <c r="K21" s="387" t="n">
        <f aca="false">K20-I21-L21-M21</f>
        <v>5750</v>
      </c>
      <c r="L21" s="388"/>
      <c r="M21" s="389"/>
      <c r="N21" s="390"/>
      <c r="O21" s="390"/>
      <c r="P21" s="391" t="n">
        <f aca="false">IF(ISBLANK(L20),VALUE(P20),ROW(L20))</f>
        <v>10</v>
      </c>
      <c r="Q21" s="314" t="n">
        <f aca="false">Q20+P20-P21</f>
        <v>12</v>
      </c>
      <c r="R21" s="314" t="n">
        <f aca="false">INDEX(G:G,P21,1)</f>
        <v>69000</v>
      </c>
      <c r="S21" s="312"/>
    </row>
    <row r="22" s="379" customFormat="true" ht="14.9" hidden="false" customHeight="false" outlineLevel="0" collapsed="false">
      <c r="A22" s="380" t="n">
        <v>12</v>
      </c>
      <c r="B22" s="392" t="str">
        <f aca="false">CONCATENATE(INT((A22-1)/12)+1,"-й год ",A22-1-INT((A22-1)/12)*12+1,"-й мес")</f>
        <v>1-й год 12-й мес</v>
      </c>
      <c r="C22" s="393" t="n">
        <f aca="false">DATE(YEAR(C21),MONTH(C21)+1,DAY(C21))</f>
        <v>44228</v>
      </c>
      <c r="D22" s="394" t="n">
        <f aca="false">IFERROR(IF(R22*$D$4/100/12/(1-(1+$D$4/100/12)^(-Q22))&lt;G21,ROUNDUP(R22*$D$4/100/12/(1-(1+$D$4/100/12)^(-Q22)),0),G21+F22),0)</f>
        <v>6347.58136966867</v>
      </c>
      <c r="E22" s="395" t="n">
        <f aca="false">D22-F22</f>
        <v>6241.56034463648</v>
      </c>
      <c r="F22" s="395" t="n">
        <f aca="false">G21*$D$4*(C22-C21)/(DATE(YEAR(C22)+1,1,1)-DATE(YEAR(C22),1,1))/100</f>
        <v>106.021025032181</v>
      </c>
      <c r="G22" s="385" t="n">
        <f aca="false">G21-E22-L22-M22</f>
        <v>0</v>
      </c>
      <c r="H22" s="386" t="n">
        <f aca="false">IFERROR(I22+J22,0)</f>
        <v>5845.83333333333</v>
      </c>
      <c r="I22" s="384" t="n">
        <f aca="false">IFERROR(IF($D$3/$D$5&lt;K21,$D$3/$D$5,K21),0)</f>
        <v>5750</v>
      </c>
      <c r="J22" s="384" t="n">
        <f aca="false">K21*$D$4/12/100</f>
        <v>95.8333333333333</v>
      </c>
      <c r="K22" s="387" t="n">
        <f aca="false">K21-I22-L22-M22</f>
        <v>0</v>
      </c>
      <c r="L22" s="388"/>
      <c r="M22" s="389"/>
      <c r="N22" s="390"/>
      <c r="O22" s="390"/>
      <c r="P22" s="391" t="n">
        <f aca="false">IF(ISBLANK(L21),VALUE(P21),ROW(L21))</f>
        <v>10</v>
      </c>
      <c r="Q22" s="314" t="n">
        <f aca="false">Q21+P21-P22</f>
        <v>12</v>
      </c>
      <c r="R22" s="314" t="n">
        <f aca="false">INDEX(G:G,P22,1)</f>
        <v>69000</v>
      </c>
      <c r="S22" s="312"/>
    </row>
    <row r="23" s="379" customFormat="true" ht="14.9" hidden="false" customHeight="false" outlineLevel="0" collapsed="false">
      <c r="A23" s="396" t="n">
        <v>13</v>
      </c>
      <c r="B23" s="381" t="str">
        <f aca="false">CONCATENATE(INT((A23-1)/12)+1,"-й год ",A23-1-INT((A23-1)/12)*12+1,"-й мес")</f>
        <v>2-й год 1-й мес</v>
      </c>
      <c r="C23" s="382" t="n">
        <f aca="false">DATE(YEAR(C22),MONTH(C22)+1,DAY(C22))</f>
        <v>44256</v>
      </c>
      <c r="D23" s="383" t="n">
        <f aca="false">IFERROR(IF(R23*$D$4/100/12/(1-(1+$D$4/100/12)^(-Q23))&lt;G22,ROUNDUP(R23*$D$4/100/12/(1-(1+$D$4/100/12)^(-Q23)),0),G22+F23),0)</f>
        <v>0</v>
      </c>
      <c r="E23" s="384" t="n">
        <f aca="false">D23-F23</f>
        <v>0</v>
      </c>
      <c r="F23" s="384" t="n">
        <f aca="false">G22*$D$4*(C23-C22)/(DATE(YEAR(C23)+1,1,1)-DATE(YEAR(C23),1,1))/100</f>
        <v>0</v>
      </c>
      <c r="G23" s="397" t="n">
        <f aca="false">G22-E23-L23-M23</f>
        <v>0</v>
      </c>
      <c r="H23" s="398" t="n">
        <f aca="false">IFERROR(I23+J23,0)</f>
        <v>0</v>
      </c>
      <c r="I23" s="399" t="n">
        <f aca="false">IFERROR(IF($D$3/$D$5&lt;K22,$D$3/$D$5,K22),0)</f>
        <v>0</v>
      </c>
      <c r="J23" s="399" t="n">
        <f aca="false">K22*$D$4/12/100</f>
        <v>0</v>
      </c>
      <c r="K23" s="400" t="n">
        <f aca="false">K22-I23-L23-M23</f>
        <v>0</v>
      </c>
      <c r="L23" s="401"/>
      <c r="M23" s="402"/>
      <c r="N23" s="390"/>
      <c r="O23" s="390"/>
      <c r="P23" s="391" t="n">
        <f aca="false">IF(ISBLANK(L22),VALUE(P22),ROW(L22))</f>
        <v>10</v>
      </c>
      <c r="Q23" s="314" t="n">
        <f aca="false">Q22+P22-P23</f>
        <v>12</v>
      </c>
      <c r="R23" s="314" t="n">
        <f aca="false">INDEX(G:G,P23,1)</f>
        <v>69000</v>
      </c>
      <c r="S23" s="312"/>
    </row>
    <row r="24" s="379" customFormat="true" ht="14.9" hidden="false" customHeight="false" outlineLevel="0" collapsed="false">
      <c r="A24" s="403" t="n">
        <v>14</v>
      </c>
      <c r="B24" s="381" t="str">
        <f aca="false">CONCATENATE(INT((A24-1)/12)+1,"-й год ",A24-1-INT((A24-1)/12)*12+1,"-й мес")</f>
        <v>2-й год 2-й мес</v>
      </c>
      <c r="C24" s="382" t="n">
        <f aca="false">DATE(YEAR(C23),MONTH(C23)+1,DAY(C23))</f>
        <v>44287</v>
      </c>
      <c r="D24" s="383" t="n">
        <f aca="false">IFERROR(IF(R24*$D$4/100/12/(1-(1+$D$4/100/12)^(-Q24))&lt;G23,ROUNDUP(R24*$D$4/100/12/(1-(1+$D$4/100/12)^(-Q24)),0),G23+F24),0)</f>
        <v>0</v>
      </c>
      <c r="E24" s="384" t="n">
        <f aca="false">D24-F24</f>
        <v>0</v>
      </c>
      <c r="F24" s="384" t="n">
        <f aca="false">G23*$D$4*(C24-C23)/(DATE(YEAR(C24)+1,1,1)-DATE(YEAR(C24),1,1))/100</f>
        <v>0</v>
      </c>
      <c r="G24" s="385" t="n">
        <f aca="false">G23-E24-L24-M24</f>
        <v>0</v>
      </c>
      <c r="H24" s="386" t="n">
        <f aca="false">IFERROR(I24+J24,0)</f>
        <v>0</v>
      </c>
      <c r="I24" s="384" t="n">
        <f aca="false">IFERROR(IF($D$3/$D$5&lt;K23,$D$3/$D$5,K23),0)</f>
        <v>0</v>
      </c>
      <c r="J24" s="384" t="n">
        <f aca="false">K23*$D$4/12/100</f>
        <v>0</v>
      </c>
      <c r="K24" s="387" t="n">
        <f aca="false">K23-I24-L24-M24</f>
        <v>0</v>
      </c>
      <c r="L24" s="388"/>
      <c r="M24" s="402"/>
      <c r="N24" s="390"/>
      <c r="O24" s="390"/>
      <c r="P24" s="391" t="n">
        <f aca="false">IF(ISBLANK(L23),VALUE(P23),ROW(L23))</f>
        <v>10</v>
      </c>
      <c r="Q24" s="314" t="n">
        <f aca="false">Q23+P23-P24</f>
        <v>12</v>
      </c>
      <c r="R24" s="314" t="n">
        <f aca="false">INDEX(G:G,P24,1)</f>
        <v>69000</v>
      </c>
      <c r="S24" s="312"/>
    </row>
    <row r="25" s="379" customFormat="true" ht="14.9" hidden="false" customHeight="false" outlineLevel="0" collapsed="false">
      <c r="A25" s="403" t="n">
        <v>15</v>
      </c>
      <c r="B25" s="381" t="str">
        <f aca="false">CONCATENATE(INT((A25-1)/12)+1,"-й год ",A25-1-INT((A25-1)/12)*12+1,"-й мес")</f>
        <v>2-й год 3-й мес</v>
      </c>
      <c r="C25" s="382" t="n">
        <f aca="false">DATE(YEAR(C24),MONTH(C24)+1,DAY(C24))</f>
        <v>44317</v>
      </c>
      <c r="D25" s="383" t="n">
        <f aca="false">IFERROR(IF(R25*$D$4/100/12/(1-(1+$D$4/100/12)^(-Q25))&lt;G24,ROUNDUP(R25*$D$4/100/12/(1-(1+$D$4/100/12)^(-Q25)),0),G24+F25),0)</f>
        <v>0</v>
      </c>
      <c r="E25" s="384" t="n">
        <f aca="false">D25-F25</f>
        <v>0</v>
      </c>
      <c r="F25" s="384" t="n">
        <f aca="false">G24*$D$4*(C25-C24)/(DATE(YEAR(C25)+1,1,1)-DATE(YEAR(C25),1,1))/100</f>
        <v>0</v>
      </c>
      <c r="G25" s="385" t="n">
        <f aca="false">G24-E25-L25-M25</f>
        <v>0</v>
      </c>
      <c r="H25" s="386" t="n">
        <f aca="false">IFERROR(I25+J25,0)</f>
        <v>0</v>
      </c>
      <c r="I25" s="384" t="n">
        <f aca="false">IFERROR(IF($D$3/$D$5&lt;K24,$D$3/$D$5,K24),0)</f>
        <v>0</v>
      </c>
      <c r="J25" s="384" t="n">
        <f aca="false">K24*$D$4/12/100</f>
        <v>0</v>
      </c>
      <c r="K25" s="387" t="n">
        <f aca="false">K24-I25-L25-M25</f>
        <v>0</v>
      </c>
      <c r="L25" s="388"/>
      <c r="M25" s="402"/>
      <c r="N25" s="390"/>
      <c r="O25" s="390"/>
      <c r="P25" s="391" t="n">
        <f aca="false">IF(ISBLANK(L24),VALUE(P24),ROW(L24))</f>
        <v>10</v>
      </c>
      <c r="Q25" s="314" t="n">
        <f aca="false">Q24+P24-P25</f>
        <v>12</v>
      </c>
      <c r="R25" s="314" t="n">
        <f aca="false">INDEX(G:G,P25,1)</f>
        <v>69000</v>
      </c>
      <c r="S25" s="312"/>
    </row>
    <row r="26" s="379" customFormat="true" ht="14.9" hidden="false" customHeight="false" outlineLevel="0" collapsed="false">
      <c r="A26" s="403" t="n">
        <v>16</v>
      </c>
      <c r="B26" s="381" t="str">
        <f aca="false">CONCATENATE(INT((A26-1)/12)+1,"-й год ",A26-1-INT((A26-1)/12)*12+1,"-й мес")</f>
        <v>2-й год 4-й мес</v>
      </c>
      <c r="C26" s="382" t="n">
        <f aca="false">DATE(YEAR(C25),MONTH(C25)+1,DAY(C25))</f>
        <v>44348</v>
      </c>
      <c r="D26" s="383" t="n">
        <f aca="false">IFERROR(IF(R26*$D$4/100/12/(1-(1+$D$4/100/12)^(-Q26))&lt;G25,ROUNDUP(R26*$D$4/100/12/(1-(1+$D$4/100/12)^(-Q26)),0),G25+F26),0)</f>
        <v>0</v>
      </c>
      <c r="E26" s="384" t="n">
        <f aca="false">D26-F26</f>
        <v>0</v>
      </c>
      <c r="F26" s="384" t="n">
        <f aca="false">G25*$D$4*(C26-C25)/(DATE(YEAR(C26)+1,1,1)-DATE(YEAR(C26),1,1))/100</f>
        <v>0</v>
      </c>
      <c r="G26" s="385" t="n">
        <f aca="false">G25-E26-L26-M26</f>
        <v>0</v>
      </c>
      <c r="H26" s="386" t="n">
        <f aca="false">IFERROR(I26+J26,0)</f>
        <v>0</v>
      </c>
      <c r="I26" s="384" t="n">
        <f aca="false">IFERROR(IF($D$3/$D$5&lt;K25,$D$3/$D$5,K25),0)</f>
        <v>0</v>
      </c>
      <c r="J26" s="384" t="n">
        <f aca="false">K25*$D$4/12/100</f>
        <v>0</v>
      </c>
      <c r="K26" s="387" t="n">
        <f aca="false">K25-I26-L26-M26</f>
        <v>0</v>
      </c>
      <c r="L26" s="388"/>
      <c r="M26" s="402"/>
      <c r="N26" s="390"/>
      <c r="O26" s="390"/>
      <c r="P26" s="391" t="n">
        <f aca="false">IF(ISBLANK(L25),VALUE(P25),ROW(L25))</f>
        <v>10</v>
      </c>
      <c r="Q26" s="314" t="n">
        <f aca="false">Q25+P25-P26</f>
        <v>12</v>
      </c>
      <c r="R26" s="314" t="n">
        <f aca="false">INDEX(G:G,P26,1)</f>
        <v>69000</v>
      </c>
      <c r="S26" s="312"/>
    </row>
    <row r="27" s="379" customFormat="true" ht="14.9" hidden="false" customHeight="false" outlineLevel="0" collapsed="false">
      <c r="A27" s="403" t="n">
        <v>17</v>
      </c>
      <c r="B27" s="381" t="str">
        <f aca="false">CONCATENATE(INT((A27-1)/12)+1,"-й год ",A27-1-INT((A27-1)/12)*12+1,"-й мес")</f>
        <v>2-й год 5-й мес</v>
      </c>
      <c r="C27" s="382" t="n">
        <f aca="false">DATE(YEAR(C26),MONTH(C26)+1,DAY(C26))</f>
        <v>44378</v>
      </c>
      <c r="D27" s="383" t="n">
        <f aca="false">IFERROR(IF(R27*$D$4/100/12/(1-(1+$D$4/100/12)^(-Q27))&lt;G26,ROUNDUP(R27*$D$4/100/12/(1-(1+$D$4/100/12)^(-Q27)),0),G26+F27),0)</f>
        <v>0</v>
      </c>
      <c r="E27" s="384" t="n">
        <f aca="false">D27-F27</f>
        <v>0</v>
      </c>
      <c r="F27" s="384" t="n">
        <f aca="false">G26*$D$4*(C27-C26)/(DATE(YEAR(C27)+1,1,1)-DATE(YEAR(C27),1,1))/100</f>
        <v>0</v>
      </c>
      <c r="G27" s="385" t="n">
        <f aca="false">G26-E27-L27-M27</f>
        <v>0</v>
      </c>
      <c r="H27" s="386" t="n">
        <f aca="false">IFERROR(I27+J27,0)</f>
        <v>0</v>
      </c>
      <c r="I27" s="384" t="n">
        <f aca="false">IFERROR(IF($D$3/$D$5&lt;K26,$D$3/$D$5,K26),0)</f>
        <v>0</v>
      </c>
      <c r="J27" s="384" t="n">
        <f aca="false">K26*$D$4/12/100</f>
        <v>0</v>
      </c>
      <c r="K27" s="387" t="n">
        <f aca="false">K26-I27-L27-M27</f>
        <v>0</v>
      </c>
      <c r="L27" s="388"/>
      <c r="M27" s="402"/>
      <c r="N27" s="390"/>
      <c r="O27" s="390"/>
      <c r="P27" s="391" t="n">
        <f aca="false">IF(ISBLANK(L26),VALUE(P26),ROW(L26))</f>
        <v>10</v>
      </c>
      <c r="Q27" s="314" t="n">
        <f aca="false">Q26+P26-P27</f>
        <v>12</v>
      </c>
      <c r="R27" s="314" t="n">
        <f aca="false">INDEX(G:G,P27,1)</f>
        <v>69000</v>
      </c>
      <c r="S27" s="312"/>
    </row>
    <row r="28" s="379" customFormat="true" ht="14.9" hidden="false" customHeight="false" outlineLevel="0" collapsed="false">
      <c r="A28" s="403" t="n">
        <v>18</v>
      </c>
      <c r="B28" s="381" t="str">
        <f aca="false">CONCATENATE(INT((A28-1)/12)+1,"-й год ",A28-1-INT((A28-1)/12)*12+1,"-й мес")</f>
        <v>2-й год 6-й мес</v>
      </c>
      <c r="C28" s="382" t="n">
        <f aca="false">DATE(YEAR(C27),MONTH(C27)+1,DAY(C27))</f>
        <v>44409</v>
      </c>
      <c r="D28" s="383" t="n">
        <f aca="false">IFERROR(IF(R28*$D$4/100/12/(1-(1+$D$4/100/12)^(-Q28))&lt;G27,ROUNDUP(R28*$D$4/100/12/(1-(1+$D$4/100/12)^(-Q28)),0),G27+F28),0)</f>
        <v>0</v>
      </c>
      <c r="E28" s="384" t="n">
        <f aca="false">D28-F28</f>
        <v>0</v>
      </c>
      <c r="F28" s="384" t="n">
        <f aca="false">G27*$D$4*(C28-C27)/(DATE(YEAR(C28)+1,1,1)-DATE(YEAR(C28),1,1))/100</f>
        <v>0</v>
      </c>
      <c r="G28" s="385" t="n">
        <f aca="false">G27-E28-L28-M28</f>
        <v>0</v>
      </c>
      <c r="H28" s="386" t="n">
        <f aca="false">IFERROR(I28+J28,0)</f>
        <v>0</v>
      </c>
      <c r="I28" s="384" t="n">
        <f aca="false">IFERROR(IF($D$3/$D$5&lt;K27,$D$3/$D$5,K27),0)</f>
        <v>0</v>
      </c>
      <c r="J28" s="384" t="n">
        <f aca="false">K27*$D$4/12/100</f>
        <v>0</v>
      </c>
      <c r="K28" s="387" t="n">
        <f aca="false">K27-I28-L28-M28</f>
        <v>0</v>
      </c>
      <c r="L28" s="388"/>
      <c r="M28" s="402"/>
      <c r="N28" s="390"/>
      <c r="O28" s="390"/>
      <c r="P28" s="391" t="n">
        <f aca="false">IF(ISBLANK(L27),VALUE(P27),ROW(L27))</f>
        <v>10</v>
      </c>
      <c r="Q28" s="314" t="n">
        <f aca="false">Q27+P27-P28</f>
        <v>12</v>
      </c>
      <c r="R28" s="314" t="n">
        <f aca="false">INDEX(G:G,P28,1)</f>
        <v>69000</v>
      </c>
      <c r="S28" s="312"/>
    </row>
    <row r="29" s="379" customFormat="true" ht="14.9" hidden="false" customHeight="false" outlineLevel="0" collapsed="false">
      <c r="A29" s="403" t="n">
        <v>19</v>
      </c>
      <c r="B29" s="381" t="str">
        <f aca="false">CONCATENATE(INT((A29-1)/12)+1,"-й год ",A29-1-INT((A29-1)/12)*12+1,"-й мес")</f>
        <v>2-й год 7-й мес</v>
      </c>
      <c r="C29" s="382" t="n">
        <f aca="false">DATE(YEAR(C28),MONTH(C28)+1,DAY(C28))</f>
        <v>44440</v>
      </c>
      <c r="D29" s="383" t="n">
        <f aca="false">IFERROR(IF(R29*$D$4/100/12/(1-(1+$D$4/100/12)^(-Q29))&lt;G28,ROUNDUP(R29*$D$4/100/12/(1-(1+$D$4/100/12)^(-Q29)),0),G28+F29),0)</f>
        <v>0</v>
      </c>
      <c r="E29" s="384" t="n">
        <f aca="false">D29-F29</f>
        <v>0</v>
      </c>
      <c r="F29" s="384" t="n">
        <f aca="false">G28*$D$4*(C29-C28)/(DATE(YEAR(C29)+1,1,1)-DATE(YEAR(C29),1,1))/100</f>
        <v>0</v>
      </c>
      <c r="G29" s="385" t="n">
        <f aca="false">G28-E29-L29-M29</f>
        <v>0</v>
      </c>
      <c r="H29" s="386" t="n">
        <f aca="false">IFERROR(I29+J29,0)</f>
        <v>0</v>
      </c>
      <c r="I29" s="384" t="n">
        <f aca="false">IFERROR(IF($D$3/$D$5&lt;K28,$D$3/$D$5,K28),0)</f>
        <v>0</v>
      </c>
      <c r="J29" s="384" t="n">
        <f aca="false">K28*$D$4/12/100</f>
        <v>0</v>
      </c>
      <c r="K29" s="387" t="n">
        <f aca="false">K28-I29-L29-M29</f>
        <v>0</v>
      </c>
      <c r="L29" s="388"/>
      <c r="M29" s="402"/>
      <c r="N29" s="390"/>
      <c r="O29" s="390"/>
      <c r="P29" s="391" t="n">
        <f aca="false">IF(ISBLANK(L28),VALUE(P28),ROW(L28))</f>
        <v>10</v>
      </c>
      <c r="Q29" s="314" t="n">
        <f aca="false">Q28+P28-P29</f>
        <v>12</v>
      </c>
      <c r="R29" s="314" t="n">
        <f aca="false">INDEX(G:G,P29,1)</f>
        <v>69000</v>
      </c>
      <c r="S29" s="312"/>
    </row>
    <row r="30" s="379" customFormat="true" ht="14.9" hidden="false" customHeight="false" outlineLevel="0" collapsed="false">
      <c r="A30" s="403" t="n">
        <v>20</v>
      </c>
      <c r="B30" s="381" t="str">
        <f aca="false">CONCATENATE(INT((A30-1)/12)+1,"-й год ",A30-1-INT((A30-1)/12)*12+1,"-й мес")</f>
        <v>2-й год 8-й мес</v>
      </c>
      <c r="C30" s="382" t="n">
        <f aca="false">DATE(YEAR(C29),MONTH(C29)+1,DAY(C29))</f>
        <v>44470</v>
      </c>
      <c r="D30" s="383" t="n">
        <f aca="false">IFERROR(IF(R30*$D$4/100/12/(1-(1+$D$4/100/12)^(-Q30))&lt;G29,ROUNDUP(R30*$D$4/100/12/(1-(1+$D$4/100/12)^(-Q30)),0),G29+F30),0)</f>
        <v>0</v>
      </c>
      <c r="E30" s="384" t="n">
        <f aca="false">D30-F30</f>
        <v>0</v>
      </c>
      <c r="F30" s="384" t="n">
        <f aca="false">G29*$D$4*(C30-C29)/(DATE(YEAR(C30)+1,1,1)-DATE(YEAR(C30),1,1))/100</f>
        <v>0</v>
      </c>
      <c r="G30" s="385" t="n">
        <f aca="false">G29-E30-L30-M30</f>
        <v>0</v>
      </c>
      <c r="H30" s="386" t="n">
        <f aca="false">IFERROR(I30+J30,0)</f>
        <v>0</v>
      </c>
      <c r="I30" s="384" t="n">
        <f aca="false">IFERROR(IF($D$3/$D$5&lt;K29,$D$3/$D$5,K29),0)</f>
        <v>0</v>
      </c>
      <c r="J30" s="384" t="n">
        <f aca="false">K29*$D$4/12/100</f>
        <v>0</v>
      </c>
      <c r="K30" s="387" t="n">
        <f aca="false">K29-I30-L30-M30</f>
        <v>0</v>
      </c>
      <c r="L30" s="388"/>
      <c r="M30" s="402"/>
      <c r="N30" s="390"/>
      <c r="O30" s="390"/>
      <c r="P30" s="391" t="n">
        <f aca="false">IF(ISBLANK(L29),VALUE(P29),ROW(L29))</f>
        <v>10</v>
      </c>
      <c r="Q30" s="314" t="n">
        <f aca="false">Q29+P29-P30</f>
        <v>12</v>
      </c>
      <c r="R30" s="314" t="n">
        <f aca="false">INDEX(G:G,P30,1)</f>
        <v>69000</v>
      </c>
      <c r="S30" s="312"/>
    </row>
    <row r="31" s="379" customFormat="true" ht="14.9" hidden="false" customHeight="false" outlineLevel="0" collapsed="false">
      <c r="A31" s="403" t="n">
        <v>21</v>
      </c>
      <c r="B31" s="381" t="str">
        <f aca="false">CONCATENATE(INT((A31-1)/12)+1,"-й год ",A31-1-INT((A31-1)/12)*12+1,"-й мес")</f>
        <v>2-й год 9-й мес</v>
      </c>
      <c r="C31" s="382" t="n">
        <f aca="false">DATE(YEAR(C30),MONTH(C30)+1,DAY(C30))</f>
        <v>44501</v>
      </c>
      <c r="D31" s="383" t="n">
        <f aca="false">IFERROR(IF(R31*$D$4/100/12/(1-(1+$D$4/100/12)^(-Q31))&lt;G30,ROUNDUP(R31*$D$4/100/12/(1-(1+$D$4/100/12)^(-Q31)),0),G30+F31),0)</f>
        <v>0</v>
      </c>
      <c r="E31" s="384" t="n">
        <f aca="false">D31-F31</f>
        <v>0</v>
      </c>
      <c r="F31" s="384" t="n">
        <f aca="false">G30*$D$4*(C31-C30)/(DATE(YEAR(C31)+1,1,1)-DATE(YEAR(C31),1,1))/100</f>
        <v>0</v>
      </c>
      <c r="G31" s="385" t="n">
        <f aca="false">G30-E31-L31-M31</f>
        <v>0</v>
      </c>
      <c r="H31" s="386" t="n">
        <f aca="false">IFERROR(I31+J31,0)</f>
        <v>0</v>
      </c>
      <c r="I31" s="384" t="n">
        <f aca="false">IFERROR(IF($D$3/$D$5&lt;K30,$D$3/$D$5,K30),0)</f>
        <v>0</v>
      </c>
      <c r="J31" s="384" t="n">
        <f aca="false">K30*$D$4/12/100</f>
        <v>0</v>
      </c>
      <c r="K31" s="387" t="n">
        <f aca="false">K30-I31-L31-M31</f>
        <v>0</v>
      </c>
      <c r="L31" s="388"/>
      <c r="M31" s="402"/>
      <c r="N31" s="390"/>
      <c r="O31" s="390"/>
      <c r="P31" s="391" t="n">
        <f aca="false">IF(ISBLANK(L30),VALUE(P30),ROW(L30))</f>
        <v>10</v>
      </c>
      <c r="Q31" s="314" t="n">
        <f aca="false">Q30+P30-P31</f>
        <v>12</v>
      </c>
      <c r="R31" s="314" t="n">
        <f aca="false">INDEX(G:G,P31,1)</f>
        <v>69000</v>
      </c>
      <c r="S31" s="312"/>
    </row>
    <row r="32" s="379" customFormat="true" ht="14.9" hidden="false" customHeight="false" outlineLevel="0" collapsed="false">
      <c r="A32" s="403" t="n">
        <v>22</v>
      </c>
      <c r="B32" s="381" t="str">
        <f aca="false">CONCATENATE(INT((A32-1)/12)+1,"-й год ",A32-1-INT((A32-1)/12)*12+1,"-й мес")</f>
        <v>2-й год 10-й мес</v>
      </c>
      <c r="C32" s="382" t="n">
        <f aca="false">DATE(YEAR(C31),MONTH(C31)+1,DAY(C31))</f>
        <v>44531</v>
      </c>
      <c r="D32" s="383" t="n">
        <f aca="false">IFERROR(IF(R32*$D$4/100/12/(1-(1+$D$4/100/12)^(-Q32))&lt;G31,ROUNDUP(R32*$D$4/100/12/(1-(1+$D$4/100/12)^(-Q32)),0),G31+F32),0)</f>
        <v>0</v>
      </c>
      <c r="E32" s="384" t="n">
        <f aca="false">D32-F32</f>
        <v>0</v>
      </c>
      <c r="F32" s="384" t="n">
        <f aca="false">G31*$D$4*(C32-C31)/(DATE(YEAR(C32)+1,1,1)-DATE(YEAR(C32),1,1))/100</f>
        <v>0</v>
      </c>
      <c r="G32" s="385" t="n">
        <f aca="false">G31-E32-L32-M32</f>
        <v>0</v>
      </c>
      <c r="H32" s="386" t="n">
        <f aca="false">IFERROR(I32+J32,0)</f>
        <v>0</v>
      </c>
      <c r="I32" s="384" t="n">
        <f aca="false">IFERROR(IF($D$3/$D$5&lt;K31,$D$3/$D$5,K31),0)</f>
        <v>0</v>
      </c>
      <c r="J32" s="384" t="n">
        <f aca="false">K31*$D$4/12/100</f>
        <v>0</v>
      </c>
      <c r="K32" s="387" t="n">
        <f aca="false">K31-I32-L32-M32</f>
        <v>0</v>
      </c>
      <c r="L32" s="388"/>
      <c r="M32" s="402"/>
      <c r="N32" s="390"/>
      <c r="O32" s="390"/>
      <c r="P32" s="391" t="n">
        <f aca="false">IF(ISBLANK(L31),VALUE(P31),ROW(L31))</f>
        <v>10</v>
      </c>
      <c r="Q32" s="314" t="n">
        <f aca="false">Q31+P31-P32</f>
        <v>12</v>
      </c>
      <c r="R32" s="314" t="n">
        <f aca="false">INDEX(G:G,P32,1)</f>
        <v>69000</v>
      </c>
      <c r="S32" s="312"/>
    </row>
    <row r="33" s="379" customFormat="true" ht="14.9" hidden="false" customHeight="false" outlineLevel="0" collapsed="false">
      <c r="A33" s="403" t="n">
        <v>23</v>
      </c>
      <c r="B33" s="381" t="str">
        <f aca="false">CONCATENATE(INT((A33-1)/12)+1,"-й год ",A33-1-INT((A33-1)/12)*12+1,"-й мес")</f>
        <v>2-й год 11-й мес</v>
      </c>
      <c r="C33" s="382" t="n">
        <f aca="false">DATE(YEAR(C32),MONTH(C32)+1,DAY(C32))</f>
        <v>44562</v>
      </c>
      <c r="D33" s="383" t="n">
        <f aca="false">IFERROR(IF(R33*$D$4/100/12/(1-(1+$D$4/100/12)^(-Q33))&lt;G32,ROUNDUP(R33*$D$4/100/12/(1-(1+$D$4/100/12)^(-Q33)),0),G32+F33),0)</f>
        <v>0</v>
      </c>
      <c r="E33" s="384" t="n">
        <f aca="false">D33-F33</f>
        <v>0</v>
      </c>
      <c r="F33" s="384" t="n">
        <f aca="false">G32*$D$4*(C33-C32)/(DATE(YEAR(C33)+1,1,1)-DATE(YEAR(C33),1,1))/100</f>
        <v>0</v>
      </c>
      <c r="G33" s="385" t="n">
        <f aca="false">G32-E33-L33-M33</f>
        <v>0</v>
      </c>
      <c r="H33" s="386" t="n">
        <f aca="false">IFERROR(I33+J33,0)</f>
        <v>0</v>
      </c>
      <c r="I33" s="384" t="n">
        <f aca="false">IFERROR(IF($D$3/$D$5&lt;K32,$D$3/$D$5,K32),0)</f>
        <v>0</v>
      </c>
      <c r="J33" s="384" t="n">
        <f aca="false">K32*$D$4/12/100</f>
        <v>0</v>
      </c>
      <c r="K33" s="387" t="n">
        <f aca="false">K32-I33-L33-M33</f>
        <v>0</v>
      </c>
      <c r="L33" s="388"/>
      <c r="M33" s="402"/>
      <c r="N33" s="390"/>
      <c r="O33" s="390"/>
      <c r="P33" s="391" t="n">
        <f aca="false">IF(ISBLANK(L32),VALUE(P32),ROW(L32))</f>
        <v>10</v>
      </c>
      <c r="Q33" s="314" t="n">
        <f aca="false">Q32+P32-P33</f>
        <v>12</v>
      </c>
      <c r="R33" s="314" t="n">
        <f aca="false">INDEX(G:G,P33,1)</f>
        <v>69000</v>
      </c>
      <c r="S33" s="312"/>
    </row>
    <row r="34" s="379" customFormat="true" ht="14.9" hidden="false" customHeight="false" outlineLevel="0" collapsed="false">
      <c r="A34" s="404" t="n">
        <v>24</v>
      </c>
      <c r="B34" s="392" t="str">
        <f aca="false">CONCATENATE(INT((A34-1)/12)+1,"-й год ",A34-1-INT((A34-1)/12)*12+1,"-й мес")</f>
        <v>2-й год 12-й мес</v>
      </c>
      <c r="C34" s="393" t="n">
        <f aca="false">DATE(YEAR(C33),MONTH(C33)+1,DAY(C33))</f>
        <v>44593</v>
      </c>
      <c r="D34" s="394" t="n">
        <f aca="false">IFERROR(IF(R34*$D$4/100/12/(1-(1+$D$4/100/12)^(-Q34))&lt;G33,ROUNDUP(R34*$D$4/100/12/(1-(1+$D$4/100/12)^(-Q34)),0),G33+F34),0)</f>
        <v>0</v>
      </c>
      <c r="E34" s="395" t="n">
        <f aca="false">D34-F34</f>
        <v>0</v>
      </c>
      <c r="F34" s="395" t="n">
        <f aca="false">G33*$D$4*(C34-C33)/(DATE(YEAR(C34)+1,1,1)-DATE(YEAR(C34),1,1))/100</f>
        <v>0</v>
      </c>
      <c r="G34" s="405" t="n">
        <f aca="false">G33-E34-L34-M34</f>
        <v>0</v>
      </c>
      <c r="H34" s="406" t="n">
        <f aca="false">IFERROR(I34+J34,0)</f>
        <v>0</v>
      </c>
      <c r="I34" s="395" t="n">
        <f aca="false">IFERROR(IF($D$3/$D$5&lt;K33,$D$3/$D$5,K33),0)</f>
        <v>0</v>
      </c>
      <c r="J34" s="395" t="n">
        <f aca="false">K33*$D$4/12/100</f>
        <v>0</v>
      </c>
      <c r="K34" s="407" t="n">
        <f aca="false">K33-I34-L34-M34</f>
        <v>0</v>
      </c>
      <c r="L34" s="408"/>
      <c r="M34" s="402"/>
      <c r="N34" s="390"/>
      <c r="O34" s="390"/>
      <c r="P34" s="391" t="n">
        <f aca="false">IF(ISBLANK(L33),VALUE(P33),ROW(L33))</f>
        <v>10</v>
      </c>
      <c r="Q34" s="314" t="n">
        <f aca="false">Q33+P33-P34</f>
        <v>12</v>
      </c>
      <c r="R34" s="314" t="n">
        <f aca="false">INDEX(G:G,P34,1)</f>
        <v>69000</v>
      </c>
      <c r="S34" s="312"/>
    </row>
    <row r="35" s="379" customFormat="true" ht="14.9" hidden="false" customHeight="false" outlineLevel="0" collapsed="false">
      <c r="A35" s="380" t="n">
        <v>25</v>
      </c>
      <c r="B35" s="381" t="str">
        <f aca="false">CONCATENATE(INT((A35-1)/12)+1,"-й год ",A35-1-INT((A35-1)/12)*12+1,"-й мес")</f>
        <v>3-й год 1-й мес</v>
      </c>
      <c r="C35" s="382" t="n">
        <f aca="false">DATE(YEAR(C34),MONTH(C34)+1,DAY(C34))</f>
        <v>44621</v>
      </c>
      <c r="D35" s="383" t="n">
        <f aca="false">IFERROR(IF(R35*$D$4/100/12/(1-(1+$D$4/100/12)^(-Q35))&lt;G34,ROUNDUP(R35*$D$4/100/12/(1-(1+$D$4/100/12)^(-Q35)),0),G34+F35),0)</f>
        <v>0</v>
      </c>
      <c r="E35" s="384" t="n">
        <f aca="false">D35-F35</f>
        <v>0</v>
      </c>
      <c r="F35" s="384" t="n">
        <f aca="false">G34*$D$4*(C35-C34)/(DATE(YEAR(C35)+1,1,1)-DATE(YEAR(C35),1,1))/100</f>
        <v>0</v>
      </c>
      <c r="G35" s="385" t="n">
        <f aca="false">G34-E35-L35-M35</f>
        <v>0</v>
      </c>
      <c r="H35" s="386" t="n">
        <f aca="false">IFERROR(I35+J35,0)</f>
        <v>0</v>
      </c>
      <c r="I35" s="384" t="n">
        <f aca="false">IFERROR(IF($D$3/$D$5&lt;K34,$D$3/$D$5,K34),0)</f>
        <v>0</v>
      </c>
      <c r="J35" s="384" t="n">
        <f aca="false">K34*$D$4/12/100</f>
        <v>0</v>
      </c>
      <c r="K35" s="387" t="n">
        <f aca="false">K34-I35-L35-M35</f>
        <v>0</v>
      </c>
      <c r="L35" s="388"/>
      <c r="M35" s="402"/>
      <c r="N35" s="390"/>
      <c r="O35" s="390"/>
      <c r="P35" s="391" t="n">
        <f aca="false">IF(ISBLANK(L34),VALUE(P34),ROW(L34))</f>
        <v>10</v>
      </c>
      <c r="Q35" s="314" t="n">
        <f aca="false">Q34+P34-P35</f>
        <v>12</v>
      </c>
      <c r="R35" s="314" t="n">
        <f aca="false">INDEX(G:G,P35,1)</f>
        <v>69000</v>
      </c>
      <c r="S35" s="312"/>
    </row>
    <row r="36" s="379" customFormat="true" ht="14.9" hidden="false" customHeight="false" outlineLevel="0" collapsed="false">
      <c r="A36" s="380" t="n">
        <v>26</v>
      </c>
      <c r="B36" s="381" t="str">
        <f aca="false">CONCATENATE(INT((A36-1)/12)+1,"-й год ",A36-1-INT((A36-1)/12)*12+1,"-й мес")</f>
        <v>3-й год 2-й мес</v>
      </c>
      <c r="C36" s="382" t="n">
        <f aca="false">DATE(YEAR(C35),MONTH(C35)+1,DAY(C35))</f>
        <v>44652</v>
      </c>
      <c r="D36" s="383" t="n">
        <f aca="false">IFERROR(IF(R36*$D$4/100/12/(1-(1+$D$4/100/12)^(-Q36))&lt;G35,ROUNDUP(R36*$D$4/100/12/(1-(1+$D$4/100/12)^(-Q36)),0),G35+F36),0)</f>
        <v>0</v>
      </c>
      <c r="E36" s="384" t="n">
        <f aca="false">D36-F36</f>
        <v>0</v>
      </c>
      <c r="F36" s="384" t="n">
        <f aca="false">G35*$D$4*(C36-C35)/(DATE(YEAR(C36)+1,1,1)-DATE(YEAR(C36),1,1))/100</f>
        <v>0</v>
      </c>
      <c r="G36" s="385" t="n">
        <f aca="false">G35-E36-L36-M36</f>
        <v>0</v>
      </c>
      <c r="H36" s="386" t="n">
        <f aca="false">IFERROR(I36+J36,0)</f>
        <v>0</v>
      </c>
      <c r="I36" s="384" t="n">
        <f aca="false">IFERROR(IF($D$3/$D$5&lt;K35,$D$3/$D$5,K35),0)</f>
        <v>0</v>
      </c>
      <c r="J36" s="384" t="n">
        <f aca="false">K35*$D$4/12/100</f>
        <v>0</v>
      </c>
      <c r="K36" s="387" t="n">
        <f aca="false">K35-I36-L36-M36</f>
        <v>0</v>
      </c>
      <c r="L36" s="388"/>
      <c r="M36" s="402"/>
      <c r="N36" s="390"/>
      <c r="O36" s="390"/>
      <c r="P36" s="391" t="n">
        <f aca="false">IF(ISBLANK(L35),VALUE(P35),ROW(L35))</f>
        <v>10</v>
      </c>
      <c r="Q36" s="314" t="n">
        <f aca="false">Q35+P35-P36</f>
        <v>12</v>
      </c>
      <c r="R36" s="314" t="n">
        <f aca="false">INDEX(G:G,P36,1)</f>
        <v>69000</v>
      </c>
      <c r="S36" s="312"/>
    </row>
    <row r="37" s="379" customFormat="true" ht="14.9" hidden="false" customHeight="false" outlineLevel="0" collapsed="false">
      <c r="A37" s="380" t="n">
        <v>27</v>
      </c>
      <c r="B37" s="381" t="str">
        <f aca="false">CONCATENATE(INT((A37-1)/12)+1,"-й год ",A37-1-INT((A37-1)/12)*12+1,"-й мес")</f>
        <v>3-й год 3-й мес</v>
      </c>
      <c r="C37" s="382" t="n">
        <f aca="false">DATE(YEAR(C36),MONTH(C36)+1,DAY(C36))</f>
        <v>44682</v>
      </c>
      <c r="D37" s="383" t="n">
        <f aca="false">IFERROR(IF(R37*$D$4/100/12/(1-(1+$D$4/100/12)^(-Q37))&lt;G36,ROUNDUP(R37*$D$4/100/12/(1-(1+$D$4/100/12)^(-Q37)),0),G36+F37),0)</f>
        <v>0</v>
      </c>
      <c r="E37" s="384" t="n">
        <f aca="false">D37-F37</f>
        <v>0</v>
      </c>
      <c r="F37" s="384" t="n">
        <f aca="false">G36*$D$4*(C37-C36)/(DATE(YEAR(C37)+1,1,1)-DATE(YEAR(C37),1,1))/100</f>
        <v>0</v>
      </c>
      <c r="G37" s="385" t="n">
        <f aca="false">G36-E37-L37-M37</f>
        <v>0</v>
      </c>
      <c r="H37" s="386" t="n">
        <f aca="false">IFERROR(I37+J37,0)</f>
        <v>0</v>
      </c>
      <c r="I37" s="384" t="n">
        <f aca="false">IFERROR(IF($D$3/$D$5&lt;K36,$D$3/$D$5,K36),0)</f>
        <v>0</v>
      </c>
      <c r="J37" s="384" t="n">
        <f aca="false">K36*$D$4/12/100</f>
        <v>0</v>
      </c>
      <c r="K37" s="387" t="n">
        <f aca="false">K36-I37-L37-M37</f>
        <v>0</v>
      </c>
      <c r="L37" s="388"/>
      <c r="M37" s="402"/>
      <c r="N37" s="390"/>
      <c r="O37" s="390"/>
      <c r="P37" s="391" t="n">
        <f aca="false">IF(ISBLANK(L36),VALUE(P36),ROW(L36))</f>
        <v>10</v>
      </c>
      <c r="Q37" s="314" t="n">
        <f aca="false">Q36+P36-P37</f>
        <v>12</v>
      </c>
      <c r="R37" s="314" t="n">
        <f aca="false">INDEX(G:G,P37,1)</f>
        <v>69000</v>
      </c>
      <c r="S37" s="312"/>
    </row>
    <row r="38" s="379" customFormat="true" ht="14.9" hidden="false" customHeight="false" outlineLevel="0" collapsed="false">
      <c r="A38" s="380" t="n">
        <v>28</v>
      </c>
      <c r="B38" s="381" t="str">
        <f aca="false">CONCATENATE(INT((A38-1)/12)+1,"-й год ",A38-1-INT((A38-1)/12)*12+1,"-й мес")</f>
        <v>3-й год 4-й мес</v>
      </c>
      <c r="C38" s="382" t="n">
        <f aca="false">DATE(YEAR(C37),MONTH(C37)+1,DAY(C37))</f>
        <v>44713</v>
      </c>
      <c r="D38" s="383" t="n">
        <f aca="false">IFERROR(IF(R38*$D$4/100/12/(1-(1+$D$4/100/12)^(-Q38))&lt;G37,ROUNDUP(R38*$D$4/100/12/(1-(1+$D$4/100/12)^(-Q38)),0),G37+F38),0)</f>
        <v>0</v>
      </c>
      <c r="E38" s="384" t="n">
        <f aca="false">D38-F38</f>
        <v>0</v>
      </c>
      <c r="F38" s="384" t="n">
        <f aca="false">G37*$D$4*(C38-C37)/(DATE(YEAR(C38)+1,1,1)-DATE(YEAR(C38),1,1))/100</f>
        <v>0</v>
      </c>
      <c r="G38" s="385" t="n">
        <f aca="false">G37-E38-L38-M38</f>
        <v>0</v>
      </c>
      <c r="H38" s="386" t="n">
        <f aca="false">IFERROR(I38+J38,0)</f>
        <v>0</v>
      </c>
      <c r="I38" s="384" t="n">
        <f aca="false">IFERROR(IF($D$3/$D$5&lt;K37,$D$3/$D$5,K37),0)</f>
        <v>0</v>
      </c>
      <c r="J38" s="384" t="n">
        <f aca="false">K37*$D$4/12/100</f>
        <v>0</v>
      </c>
      <c r="K38" s="387" t="n">
        <f aca="false">K37-I38-L38-M38</f>
        <v>0</v>
      </c>
      <c r="L38" s="388"/>
      <c r="M38" s="402"/>
      <c r="N38" s="390"/>
      <c r="O38" s="390"/>
      <c r="P38" s="391" t="n">
        <f aca="false">IF(ISBLANK(L37),VALUE(P37),ROW(L37))</f>
        <v>10</v>
      </c>
      <c r="Q38" s="314" t="n">
        <f aca="false">Q37+P37-P38</f>
        <v>12</v>
      </c>
      <c r="R38" s="314" t="n">
        <f aca="false">INDEX(G:G,P38,1)</f>
        <v>69000</v>
      </c>
      <c r="S38" s="312"/>
    </row>
    <row r="39" s="379" customFormat="true" ht="14.9" hidden="false" customHeight="false" outlineLevel="0" collapsed="false">
      <c r="A39" s="380" t="n">
        <v>29</v>
      </c>
      <c r="B39" s="381" t="str">
        <f aca="false">CONCATENATE(INT((A39-1)/12)+1,"-й год ",A39-1-INT((A39-1)/12)*12+1,"-й мес")</f>
        <v>3-й год 5-й мес</v>
      </c>
      <c r="C39" s="382" t="n">
        <f aca="false">DATE(YEAR(C38),MONTH(C38)+1,DAY(C38))</f>
        <v>44743</v>
      </c>
      <c r="D39" s="383" t="n">
        <f aca="false">IFERROR(IF(R39*$D$4/100/12/(1-(1+$D$4/100/12)^(-Q39))&lt;G38,ROUNDUP(R39*$D$4/100/12/(1-(1+$D$4/100/12)^(-Q39)),0),G38+F39),0)</f>
        <v>0</v>
      </c>
      <c r="E39" s="384" t="n">
        <f aca="false">D39-F39</f>
        <v>0</v>
      </c>
      <c r="F39" s="384" t="n">
        <f aca="false">G38*$D$4*(C39-C38)/(DATE(YEAR(C39)+1,1,1)-DATE(YEAR(C39),1,1))/100</f>
        <v>0</v>
      </c>
      <c r="G39" s="385" t="n">
        <f aca="false">G38-E39-L39-M39</f>
        <v>0</v>
      </c>
      <c r="H39" s="386" t="n">
        <f aca="false">IFERROR(I39+J39,0)</f>
        <v>0</v>
      </c>
      <c r="I39" s="384" t="n">
        <f aca="false">IFERROR(IF($D$3/$D$5&lt;K38,$D$3/$D$5,K38),0)</f>
        <v>0</v>
      </c>
      <c r="J39" s="384" t="n">
        <f aca="false">K38*$D$4/12/100</f>
        <v>0</v>
      </c>
      <c r="K39" s="387" t="n">
        <f aca="false">K38-I39-L39-M39</f>
        <v>0</v>
      </c>
      <c r="L39" s="388"/>
      <c r="M39" s="402"/>
      <c r="N39" s="390"/>
      <c r="O39" s="390"/>
      <c r="P39" s="391" t="n">
        <f aca="false">IF(ISBLANK(L38),VALUE(P38),ROW(L38))</f>
        <v>10</v>
      </c>
      <c r="Q39" s="314" t="n">
        <f aca="false">Q38+P38-P39</f>
        <v>12</v>
      </c>
      <c r="R39" s="314" t="n">
        <f aca="false">INDEX(G:G,P39,1)</f>
        <v>69000</v>
      </c>
      <c r="S39" s="312"/>
    </row>
    <row r="40" s="379" customFormat="true" ht="14.9" hidden="false" customHeight="false" outlineLevel="0" collapsed="false">
      <c r="A40" s="380" t="n">
        <v>30</v>
      </c>
      <c r="B40" s="381" t="str">
        <f aca="false">CONCATENATE(INT((A40-1)/12)+1,"-й год ",A40-1-INT((A40-1)/12)*12+1,"-й мес")</f>
        <v>3-й год 6-й мес</v>
      </c>
      <c r="C40" s="382" t="n">
        <f aca="false">DATE(YEAR(C39),MONTH(C39)+1,DAY(C39))</f>
        <v>44774</v>
      </c>
      <c r="D40" s="383" t="n">
        <f aca="false">IFERROR(IF(R40*$D$4/100/12/(1-(1+$D$4/100/12)^(-Q40))&lt;G39,ROUNDUP(R40*$D$4/100/12/(1-(1+$D$4/100/12)^(-Q40)),0),G39+F40),0)</f>
        <v>0</v>
      </c>
      <c r="E40" s="384" t="n">
        <f aca="false">D40-F40</f>
        <v>0</v>
      </c>
      <c r="F40" s="384" t="n">
        <f aca="false">G39*$D$4*(C40-C39)/(DATE(YEAR(C40)+1,1,1)-DATE(YEAR(C40),1,1))/100</f>
        <v>0</v>
      </c>
      <c r="G40" s="385" t="n">
        <f aca="false">G39-E40-L40-M40</f>
        <v>0</v>
      </c>
      <c r="H40" s="386" t="n">
        <f aca="false">IFERROR(I40+J40,0)</f>
        <v>0</v>
      </c>
      <c r="I40" s="384" t="n">
        <f aca="false">IFERROR(IF($D$3/$D$5&lt;K39,$D$3/$D$5,K39),0)</f>
        <v>0</v>
      </c>
      <c r="J40" s="384" t="n">
        <f aca="false">K39*$D$4/12/100</f>
        <v>0</v>
      </c>
      <c r="K40" s="387" t="n">
        <f aca="false">K39-I40-L40-M40</f>
        <v>0</v>
      </c>
      <c r="L40" s="388"/>
      <c r="M40" s="402"/>
      <c r="N40" s="390"/>
      <c r="O40" s="390"/>
      <c r="P40" s="391" t="n">
        <f aca="false">IF(ISBLANK(L39),VALUE(P39),ROW(L39))</f>
        <v>10</v>
      </c>
      <c r="Q40" s="314" t="n">
        <f aca="false">Q39+P39-P40</f>
        <v>12</v>
      </c>
      <c r="R40" s="314" t="n">
        <f aca="false">INDEX(G:G,P40,1)</f>
        <v>69000</v>
      </c>
      <c r="S40" s="312"/>
    </row>
    <row r="41" s="379" customFormat="true" ht="14.9" hidden="false" customHeight="false" outlineLevel="0" collapsed="false">
      <c r="A41" s="380" t="n">
        <v>31</v>
      </c>
      <c r="B41" s="381" t="str">
        <f aca="false">CONCATENATE(INT((A41-1)/12)+1,"-й год ",A41-1-INT((A41-1)/12)*12+1,"-й мес")</f>
        <v>3-й год 7-й мес</v>
      </c>
      <c r="C41" s="382" t="n">
        <f aca="false">DATE(YEAR(C40),MONTH(C40)+1,DAY(C40))</f>
        <v>44805</v>
      </c>
      <c r="D41" s="383" t="n">
        <f aca="false">IFERROR(IF(R41*$D$4/100/12/(1-(1+$D$4/100/12)^(-Q41))&lt;G40,ROUNDUP(R41*$D$4/100/12/(1-(1+$D$4/100/12)^(-Q41)),0),G40+F41),0)</f>
        <v>0</v>
      </c>
      <c r="E41" s="384" t="n">
        <f aca="false">D41-F41</f>
        <v>0</v>
      </c>
      <c r="F41" s="384" t="n">
        <f aca="false">G40*$D$4*(C41-C40)/(DATE(YEAR(C41)+1,1,1)-DATE(YEAR(C41),1,1))/100</f>
        <v>0</v>
      </c>
      <c r="G41" s="385" t="n">
        <f aca="false">G40-E41-L41-M41</f>
        <v>0</v>
      </c>
      <c r="H41" s="386" t="n">
        <f aca="false">IFERROR(I41+J41,0)</f>
        <v>0</v>
      </c>
      <c r="I41" s="384" t="n">
        <f aca="false">IFERROR(IF($D$3/$D$5&lt;K40,$D$3/$D$5,K40),0)</f>
        <v>0</v>
      </c>
      <c r="J41" s="384" t="n">
        <f aca="false">K40*$D$4/12/100</f>
        <v>0</v>
      </c>
      <c r="K41" s="387" t="n">
        <f aca="false">K40-I41-L41-M41</f>
        <v>0</v>
      </c>
      <c r="L41" s="388"/>
      <c r="M41" s="402"/>
      <c r="N41" s="390"/>
      <c r="O41" s="390"/>
      <c r="P41" s="391" t="n">
        <f aca="false">IF(ISBLANK(L40),VALUE(P40),ROW(L40))</f>
        <v>10</v>
      </c>
      <c r="Q41" s="314" t="n">
        <f aca="false">Q40+P40-P41</f>
        <v>12</v>
      </c>
      <c r="R41" s="314" t="n">
        <f aca="false">INDEX(G:G,P41,1)</f>
        <v>69000</v>
      </c>
      <c r="S41" s="312"/>
    </row>
    <row r="42" s="379" customFormat="true" ht="14.9" hidden="false" customHeight="false" outlineLevel="0" collapsed="false">
      <c r="A42" s="380" t="n">
        <v>32</v>
      </c>
      <c r="B42" s="381" t="str">
        <f aca="false">CONCATENATE(INT((A42-1)/12)+1,"-й год ",A42-1-INT((A42-1)/12)*12+1,"-й мес")</f>
        <v>3-й год 8-й мес</v>
      </c>
      <c r="C42" s="382" t="n">
        <f aca="false">DATE(YEAR(C41),MONTH(C41)+1,DAY(C41))</f>
        <v>44835</v>
      </c>
      <c r="D42" s="383" t="n">
        <f aca="false">IFERROR(IF(R42*$D$4/100/12/(1-(1+$D$4/100/12)^(-Q42))&lt;G41,ROUNDUP(R42*$D$4/100/12/(1-(1+$D$4/100/12)^(-Q42)),0),G41+F42),0)</f>
        <v>0</v>
      </c>
      <c r="E42" s="384" t="n">
        <f aca="false">D42-F42</f>
        <v>0</v>
      </c>
      <c r="F42" s="384" t="n">
        <f aca="false">G41*$D$4*(C42-C41)/(DATE(YEAR(C42)+1,1,1)-DATE(YEAR(C42),1,1))/100</f>
        <v>0</v>
      </c>
      <c r="G42" s="385" t="n">
        <f aca="false">G41-E42-L42-M42</f>
        <v>0</v>
      </c>
      <c r="H42" s="386" t="n">
        <f aca="false">IFERROR(I42+J42,0)</f>
        <v>0</v>
      </c>
      <c r="I42" s="384" t="n">
        <f aca="false">IFERROR(IF($D$3/$D$5&lt;K41,$D$3/$D$5,K41),0)</f>
        <v>0</v>
      </c>
      <c r="J42" s="384" t="n">
        <f aca="false">K41*$D$4/12/100</f>
        <v>0</v>
      </c>
      <c r="K42" s="387" t="n">
        <f aca="false">K41-I42-L42-M42</f>
        <v>0</v>
      </c>
      <c r="L42" s="388"/>
      <c r="M42" s="402"/>
      <c r="N42" s="390"/>
      <c r="O42" s="390"/>
      <c r="P42" s="391" t="n">
        <f aca="false">IF(ISBLANK(L41),VALUE(P41),ROW(L41))</f>
        <v>10</v>
      </c>
      <c r="Q42" s="314" t="n">
        <f aca="false">Q41+P41-P42</f>
        <v>12</v>
      </c>
      <c r="R42" s="314" t="n">
        <f aca="false">INDEX(G:G,P42,1)</f>
        <v>69000</v>
      </c>
      <c r="S42" s="312"/>
    </row>
    <row r="43" s="379" customFormat="true" ht="14.9" hidden="false" customHeight="false" outlineLevel="0" collapsed="false">
      <c r="A43" s="380" t="n">
        <v>33</v>
      </c>
      <c r="B43" s="381" t="str">
        <f aca="false">CONCATENATE(INT((A43-1)/12)+1,"-й год ",A43-1-INT((A43-1)/12)*12+1,"-й мес")</f>
        <v>3-й год 9-й мес</v>
      </c>
      <c r="C43" s="382" t="n">
        <f aca="false">DATE(YEAR(C42),MONTH(C42)+1,DAY(C42))</f>
        <v>44866</v>
      </c>
      <c r="D43" s="383" t="n">
        <f aca="false">IFERROR(IF(R43*$D$4/100/12/(1-(1+$D$4/100/12)^(-Q43))&lt;G42,ROUNDUP(R43*$D$4/100/12/(1-(1+$D$4/100/12)^(-Q43)),0),G42+F43),0)</f>
        <v>0</v>
      </c>
      <c r="E43" s="384" t="n">
        <f aca="false">D43-F43</f>
        <v>0</v>
      </c>
      <c r="F43" s="384" t="n">
        <f aca="false">G42*$D$4*(C43-C42)/(DATE(YEAR(C43)+1,1,1)-DATE(YEAR(C43),1,1))/100</f>
        <v>0</v>
      </c>
      <c r="G43" s="385" t="n">
        <f aca="false">G42-E43-L43-M43</f>
        <v>0</v>
      </c>
      <c r="H43" s="386" t="n">
        <f aca="false">IFERROR(I43+J43,0)</f>
        <v>0</v>
      </c>
      <c r="I43" s="384" t="n">
        <f aca="false">IFERROR(IF($D$3/$D$5&lt;K42,$D$3/$D$5,K42),0)</f>
        <v>0</v>
      </c>
      <c r="J43" s="384" t="n">
        <f aca="false">K42*$D$4/12/100</f>
        <v>0</v>
      </c>
      <c r="K43" s="387" t="n">
        <f aca="false">K42-I43-L43-M43</f>
        <v>0</v>
      </c>
      <c r="L43" s="388"/>
      <c r="M43" s="402"/>
      <c r="N43" s="390"/>
      <c r="O43" s="390"/>
      <c r="P43" s="391" t="n">
        <f aca="false">IF(ISBLANK(L42),VALUE(P42),ROW(L42))</f>
        <v>10</v>
      </c>
      <c r="Q43" s="314" t="n">
        <f aca="false">Q42+P42-P43</f>
        <v>12</v>
      </c>
      <c r="R43" s="314" t="n">
        <f aca="false">INDEX(G:G,P43,1)</f>
        <v>69000</v>
      </c>
      <c r="S43" s="312"/>
    </row>
    <row r="44" s="379" customFormat="true" ht="14.9" hidden="false" customHeight="false" outlineLevel="0" collapsed="false">
      <c r="A44" s="380" t="n">
        <v>34</v>
      </c>
      <c r="B44" s="381" t="str">
        <f aca="false">CONCATENATE(INT((A44-1)/12)+1,"-й год ",A44-1-INT((A44-1)/12)*12+1,"-й мес")</f>
        <v>3-й год 10-й мес</v>
      </c>
      <c r="C44" s="382" t="n">
        <f aca="false">DATE(YEAR(C43),MONTH(C43)+1,DAY(C43))</f>
        <v>44896</v>
      </c>
      <c r="D44" s="383" t="n">
        <f aca="false">IFERROR(IF(R44*$D$4/100/12/(1-(1+$D$4/100/12)^(-Q44))&lt;G43,ROUNDUP(R44*$D$4/100/12/(1-(1+$D$4/100/12)^(-Q44)),0),G43+F44),0)</f>
        <v>0</v>
      </c>
      <c r="E44" s="384" t="n">
        <f aca="false">D44-F44</f>
        <v>0</v>
      </c>
      <c r="F44" s="384" t="n">
        <f aca="false">G43*$D$4*(C44-C43)/(DATE(YEAR(C44)+1,1,1)-DATE(YEAR(C44),1,1))/100</f>
        <v>0</v>
      </c>
      <c r="G44" s="385" t="n">
        <f aca="false">G43-E44-L44-M44</f>
        <v>0</v>
      </c>
      <c r="H44" s="386" t="n">
        <f aca="false">IFERROR(I44+J44,0)</f>
        <v>0</v>
      </c>
      <c r="I44" s="384" t="n">
        <f aca="false">IFERROR(IF($D$3/$D$5&lt;K43,$D$3/$D$5,K43),0)</f>
        <v>0</v>
      </c>
      <c r="J44" s="384" t="n">
        <f aca="false">K43*$D$4/12/100</f>
        <v>0</v>
      </c>
      <c r="K44" s="387" t="n">
        <f aca="false">K43-I44-L44-M44</f>
        <v>0</v>
      </c>
      <c r="L44" s="388"/>
      <c r="M44" s="402"/>
      <c r="N44" s="390"/>
      <c r="O44" s="390"/>
      <c r="P44" s="391" t="n">
        <f aca="false">IF(ISBLANK(L43),VALUE(P43),ROW(L43))</f>
        <v>10</v>
      </c>
      <c r="Q44" s="314" t="n">
        <f aca="false">Q43+P43-P44</f>
        <v>12</v>
      </c>
      <c r="R44" s="314" t="n">
        <f aca="false">INDEX(G:G,P44,1)</f>
        <v>69000</v>
      </c>
      <c r="S44" s="312"/>
    </row>
    <row r="45" s="379" customFormat="true" ht="14.9" hidden="false" customHeight="false" outlineLevel="0" collapsed="false">
      <c r="A45" s="380" t="n">
        <v>35</v>
      </c>
      <c r="B45" s="381" t="str">
        <f aca="false">CONCATENATE(INT((A45-1)/12)+1,"-й год ",A45-1-INT((A45-1)/12)*12+1,"-й мес")</f>
        <v>3-й год 11-й мес</v>
      </c>
      <c r="C45" s="382" t="n">
        <f aca="false">DATE(YEAR(C44),MONTH(C44)+1,DAY(C44))</f>
        <v>44927</v>
      </c>
      <c r="D45" s="383" t="n">
        <f aca="false">IFERROR(IF(R45*$D$4/100/12/(1-(1+$D$4/100/12)^(-Q45))&lt;G44,ROUNDUP(R45*$D$4/100/12/(1-(1+$D$4/100/12)^(-Q45)),0),G44+F45),0)</f>
        <v>0</v>
      </c>
      <c r="E45" s="384" t="n">
        <f aca="false">D45-F45</f>
        <v>0</v>
      </c>
      <c r="F45" s="384" t="n">
        <f aca="false">G44*$D$4*(C45-C44)/(DATE(YEAR(C45)+1,1,1)-DATE(YEAR(C45),1,1))/100</f>
        <v>0</v>
      </c>
      <c r="G45" s="385" t="n">
        <f aca="false">G44-E45-L45-M45</f>
        <v>0</v>
      </c>
      <c r="H45" s="386" t="n">
        <f aca="false">IFERROR(I45+J45,0)</f>
        <v>0</v>
      </c>
      <c r="I45" s="384" t="n">
        <f aca="false">IFERROR(IF($D$3/$D$5&lt;K44,$D$3/$D$5,K44),0)</f>
        <v>0</v>
      </c>
      <c r="J45" s="384" t="n">
        <f aca="false">K44*$D$4/12/100</f>
        <v>0</v>
      </c>
      <c r="K45" s="387" t="n">
        <f aca="false">K44-I45-L45-M45</f>
        <v>0</v>
      </c>
      <c r="L45" s="388"/>
      <c r="M45" s="402"/>
      <c r="N45" s="390"/>
      <c r="O45" s="390"/>
      <c r="P45" s="391" t="n">
        <f aca="false">IF(ISBLANK(L44),VALUE(P44),ROW(L44))</f>
        <v>10</v>
      </c>
      <c r="Q45" s="314" t="n">
        <f aca="false">Q44+P44-P45</f>
        <v>12</v>
      </c>
      <c r="R45" s="314" t="n">
        <f aca="false">INDEX(G:G,P45,1)</f>
        <v>69000</v>
      </c>
      <c r="S45" s="312"/>
    </row>
    <row r="46" s="379" customFormat="true" ht="14.9" hidden="false" customHeight="false" outlineLevel="0" collapsed="false">
      <c r="A46" s="380" t="n">
        <v>36</v>
      </c>
      <c r="B46" s="392" t="str">
        <f aca="false">CONCATENATE(INT((A46-1)/12)+1,"-й год ",A46-1-INT((A46-1)/12)*12+1,"-й мес")</f>
        <v>3-й год 12-й мес</v>
      </c>
      <c r="C46" s="393" t="n">
        <f aca="false">DATE(YEAR(C45),MONTH(C45)+1,DAY(C45))</f>
        <v>44958</v>
      </c>
      <c r="D46" s="394" t="n">
        <f aca="false">IFERROR(IF(R46*$D$4/100/12/(1-(1+$D$4/100/12)^(-Q46))&lt;G45,ROUNDUP(R46*$D$4/100/12/(1-(1+$D$4/100/12)^(-Q46)),0),G45+F46),0)</f>
        <v>0</v>
      </c>
      <c r="E46" s="395" t="n">
        <f aca="false">D46-F46</f>
        <v>0</v>
      </c>
      <c r="F46" s="395" t="n">
        <f aca="false">G45*$D$4*(C46-C45)/(DATE(YEAR(C46)+1,1,1)-DATE(YEAR(C46),1,1))/100</f>
        <v>0</v>
      </c>
      <c r="G46" s="407" t="n">
        <f aca="false">G45-E46-L46-M46</f>
        <v>0</v>
      </c>
      <c r="H46" s="386" t="n">
        <f aca="false">IFERROR(I46+J46,0)</f>
        <v>0</v>
      </c>
      <c r="I46" s="384" t="n">
        <f aca="false">IFERROR(IF($D$3/$D$5&lt;K45,$D$3/$D$5,K45),0)</f>
        <v>0</v>
      </c>
      <c r="J46" s="384" t="n">
        <f aca="false">K45*$D$4/12/100</f>
        <v>0</v>
      </c>
      <c r="K46" s="387" t="n">
        <f aca="false">K45-I46-L46-M46</f>
        <v>0</v>
      </c>
      <c r="L46" s="388"/>
      <c r="M46" s="402"/>
      <c r="N46" s="390"/>
      <c r="O46" s="390"/>
      <c r="P46" s="391" t="n">
        <f aca="false">IF(ISBLANK(L45),VALUE(P45),ROW(L45))</f>
        <v>10</v>
      </c>
      <c r="Q46" s="314" t="n">
        <f aca="false">Q45+P45-P46</f>
        <v>12</v>
      </c>
      <c r="R46" s="314" t="n">
        <f aca="false">INDEX(G:G,P46,1)</f>
        <v>69000</v>
      </c>
      <c r="S46" s="312"/>
    </row>
    <row r="47" s="379" customFormat="true" ht="14.9" hidden="false" customHeight="false" outlineLevel="0" collapsed="false">
      <c r="A47" s="396" t="n">
        <v>37</v>
      </c>
      <c r="B47" s="381" t="str">
        <f aca="false">CONCATENATE(INT((A47-1)/12)+1,"-й год ",A47-1-INT((A47-1)/12)*12+1,"-й мес")</f>
        <v>4-й год 1-й мес</v>
      </c>
      <c r="C47" s="382" t="n">
        <f aca="false">DATE(YEAR(C46),MONTH(C46)+1,DAY(C46))</f>
        <v>44986</v>
      </c>
      <c r="D47" s="383" t="n">
        <f aca="false">IFERROR(IF(R47*$D$4/100/12/(1-(1+$D$4/100/12)^(-Q47))&lt;G46,ROUNDUP(R47*$D$4/100/12/(1-(1+$D$4/100/12)^(-Q47)),0),G46+F47),0)</f>
        <v>0</v>
      </c>
      <c r="E47" s="384" t="n">
        <f aca="false">D47-F47</f>
        <v>0</v>
      </c>
      <c r="F47" s="384" t="n">
        <f aca="false">G46*$D$4*(C47-C46)/(DATE(YEAR(C47)+1,1,1)-DATE(YEAR(C47),1,1))/100</f>
        <v>0</v>
      </c>
      <c r="G47" s="385" t="n">
        <f aca="false">G46-E47-L47-M47</f>
        <v>0</v>
      </c>
      <c r="H47" s="398" t="n">
        <f aca="false">IFERROR(I47+J47,0)</f>
        <v>0</v>
      </c>
      <c r="I47" s="399" t="n">
        <f aca="false">IFERROR(IF($D$3/$D$5&lt;K46,$D$3/$D$5,K46),0)</f>
        <v>0</v>
      </c>
      <c r="J47" s="399" t="n">
        <f aca="false">K46*$D$4/12/100</f>
        <v>0</v>
      </c>
      <c r="K47" s="400" t="n">
        <f aca="false">K46-I47-L47-M47</f>
        <v>0</v>
      </c>
      <c r="L47" s="401"/>
      <c r="M47" s="402"/>
      <c r="N47" s="409"/>
      <c r="O47" s="409"/>
      <c r="P47" s="391" t="n">
        <f aca="false">IF(ISBLANK(L46),VALUE(P46),ROW(L46))</f>
        <v>10</v>
      </c>
      <c r="Q47" s="314" t="n">
        <f aca="false">Q46+P46-P47</f>
        <v>12</v>
      </c>
      <c r="R47" s="314" t="n">
        <f aca="false">INDEX(G:G,P47,1)</f>
        <v>69000</v>
      </c>
      <c r="S47" s="312"/>
    </row>
    <row r="48" s="379" customFormat="true" ht="14.9" hidden="false" customHeight="false" outlineLevel="0" collapsed="false">
      <c r="A48" s="403" t="n">
        <v>38</v>
      </c>
      <c r="B48" s="381" t="str">
        <f aca="false">CONCATENATE(INT((A48-1)/12)+1,"-й год ",A48-1-INT((A48-1)/12)*12+1,"-й мес")</f>
        <v>4-й год 2-й мес</v>
      </c>
      <c r="C48" s="382" t="n">
        <f aca="false">DATE(YEAR(C47),MONTH(C47)+1,DAY(C47))</f>
        <v>45017</v>
      </c>
      <c r="D48" s="383" t="n">
        <f aca="false">IFERROR(IF(R48*$D$4/100/12/(1-(1+$D$4/100/12)^(-Q48))&lt;G47,ROUNDUP(R48*$D$4/100/12/(1-(1+$D$4/100/12)^(-Q48)),0),G47+F48),0)</f>
        <v>0</v>
      </c>
      <c r="E48" s="384" t="n">
        <f aca="false">D48-F48</f>
        <v>0</v>
      </c>
      <c r="F48" s="384" t="n">
        <f aca="false">G47*$D$4*(C48-C47)/(DATE(YEAR(C48)+1,1,1)-DATE(YEAR(C48),1,1))/100</f>
        <v>0</v>
      </c>
      <c r="G48" s="385" t="n">
        <f aca="false">G47-E48-L48-M48</f>
        <v>0</v>
      </c>
      <c r="H48" s="386" t="n">
        <f aca="false">IFERROR(I48+J48,0)</f>
        <v>0</v>
      </c>
      <c r="I48" s="384" t="n">
        <f aca="false">IFERROR(IF($D$3/$D$5&lt;K47,$D$3/$D$5,K47),0)</f>
        <v>0</v>
      </c>
      <c r="J48" s="384" t="n">
        <f aca="false">K47*$D$4/12/100</f>
        <v>0</v>
      </c>
      <c r="K48" s="387" t="n">
        <f aca="false">K47-I48-L48-M48</f>
        <v>0</v>
      </c>
      <c r="L48" s="388"/>
      <c r="M48" s="402"/>
      <c r="N48" s="409"/>
      <c r="O48" s="409"/>
      <c r="P48" s="391" t="n">
        <f aca="false">IF(ISBLANK(L47),VALUE(P47),ROW(L47))</f>
        <v>10</v>
      </c>
      <c r="Q48" s="314" t="n">
        <f aca="false">Q47+P47-P48</f>
        <v>12</v>
      </c>
      <c r="R48" s="314" t="n">
        <f aca="false">INDEX(G:G,P48,1)</f>
        <v>69000</v>
      </c>
      <c r="S48" s="312"/>
    </row>
    <row r="49" s="379" customFormat="true" ht="14.9" hidden="false" customHeight="false" outlineLevel="0" collapsed="false">
      <c r="A49" s="403" t="n">
        <v>39</v>
      </c>
      <c r="B49" s="381" t="str">
        <f aca="false">CONCATENATE(INT((A49-1)/12)+1,"-й год ",A49-1-INT((A49-1)/12)*12+1,"-й мес")</f>
        <v>4-й год 3-й мес</v>
      </c>
      <c r="C49" s="382" t="n">
        <f aca="false">DATE(YEAR(C48),MONTH(C48)+1,DAY(C48))</f>
        <v>45047</v>
      </c>
      <c r="D49" s="383" t="n">
        <f aca="false">IFERROR(IF(R49*$D$4/100/12/(1-(1+$D$4/100/12)^(-Q49))&lt;G48,ROUNDUP(R49*$D$4/100/12/(1-(1+$D$4/100/12)^(-Q49)),0),G48+F49),0)</f>
        <v>0</v>
      </c>
      <c r="E49" s="384" t="n">
        <f aca="false">D49-F49</f>
        <v>0</v>
      </c>
      <c r="F49" s="384" t="n">
        <f aca="false">G48*$D$4*(C49-C48)/(DATE(YEAR(C49)+1,1,1)-DATE(YEAR(C49),1,1))/100</f>
        <v>0</v>
      </c>
      <c r="G49" s="385" t="n">
        <f aca="false">G48-E49-L49-M49</f>
        <v>0</v>
      </c>
      <c r="H49" s="386" t="n">
        <f aca="false">IFERROR(I49+J49,0)</f>
        <v>0</v>
      </c>
      <c r="I49" s="384" t="n">
        <f aca="false">IFERROR(IF($D$3/$D$5&lt;K48,$D$3/$D$5,K48),0)</f>
        <v>0</v>
      </c>
      <c r="J49" s="384" t="n">
        <f aca="false">K48*$D$4/12/100</f>
        <v>0</v>
      </c>
      <c r="K49" s="387" t="n">
        <f aca="false">K48-I49-L49-M49</f>
        <v>0</v>
      </c>
      <c r="L49" s="388"/>
      <c r="M49" s="402"/>
      <c r="N49" s="409"/>
      <c r="O49" s="409"/>
      <c r="P49" s="391" t="n">
        <f aca="false">IF(ISBLANK(L48),VALUE(P48),ROW(L48))</f>
        <v>10</v>
      </c>
      <c r="Q49" s="314" t="n">
        <f aca="false">Q48+P48-P49</f>
        <v>12</v>
      </c>
      <c r="R49" s="314" t="n">
        <f aca="false">INDEX(G:G,P49,1)</f>
        <v>69000</v>
      </c>
      <c r="S49" s="312"/>
    </row>
    <row r="50" s="379" customFormat="true" ht="14.9" hidden="false" customHeight="false" outlineLevel="0" collapsed="false">
      <c r="A50" s="403" t="n">
        <v>40</v>
      </c>
      <c r="B50" s="381" t="str">
        <f aca="false">CONCATENATE(INT((A50-1)/12)+1,"-й год ",A50-1-INT((A50-1)/12)*12+1,"-й мес")</f>
        <v>4-й год 4-й мес</v>
      </c>
      <c r="C50" s="382" t="n">
        <f aca="false">DATE(YEAR(C49),MONTH(C49)+1,DAY(C49))</f>
        <v>45078</v>
      </c>
      <c r="D50" s="383" t="n">
        <f aca="false">IFERROR(IF(R50*$D$4/100/12/(1-(1+$D$4/100/12)^(-Q50))&lt;G49,ROUNDUP(R50*$D$4/100/12/(1-(1+$D$4/100/12)^(-Q50)),0),G49+F50),0)</f>
        <v>0</v>
      </c>
      <c r="E50" s="384" t="n">
        <f aca="false">D50-F50</f>
        <v>0</v>
      </c>
      <c r="F50" s="384" t="n">
        <f aca="false">G49*$D$4*(C50-C49)/(DATE(YEAR(C50)+1,1,1)-DATE(YEAR(C50),1,1))/100</f>
        <v>0</v>
      </c>
      <c r="G50" s="385" t="n">
        <f aca="false">G49-E50-L50-M50</f>
        <v>0</v>
      </c>
      <c r="H50" s="386" t="n">
        <f aca="false">IFERROR(I50+J50,0)</f>
        <v>0</v>
      </c>
      <c r="I50" s="384" t="n">
        <f aca="false">IFERROR(IF($D$3/$D$5&lt;K49,$D$3/$D$5,K49),0)</f>
        <v>0</v>
      </c>
      <c r="J50" s="384" t="n">
        <f aca="false">K49*$D$4/12/100</f>
        <v>0</v>
      </c>
      <c r="K50" s="387" t="n">
        <f aca="false">K49-I50-L50-M50</f>
        <v>0</v>
      </c>
      <c r="L50" s="388"/>
      <c r="M50" s="402"/>
      <c r="N50" s="409"/>
      <c r="O50" s="409"/>
      <c r="P50" s="391" t="n">
        <f aca="false">IF(ISBLANK(L49),VALUE(P49),ROW(L49))</f>
        <v>10</v>
      </c>
      <c r="Q50" s="314" t="n">
        <f aca="false">Q49+P49-P50</f>
        <v>12</v>
      </c>
      <c r="R50" s="314" t="n">
        <f aca="false">INDEX(G:G,P50,1)</f>
        <v>69000</v>
      </c>
      <c r="S50" s="312"/>
    </row>
    <row r="51" s="379" customFormat="true" ht="14.9" hidden="false" customHeight="false" outlineLevel="0" collapsed="false">
      <c r="A51" s="403" t="n">
        <v>41</v>
      </c>
      <c r="B51" s="381" t="str">
        <f aca="false">CONCATENATE(INT((A51-1)/12)+1,"-й год ",A51-1-INT((A51-1)/12)*12+1,"-й мес")</f>
        <v>4-й год 5-й мес</v>
      </c>
      <c r="C51" s="382" t="n">
        <f aca="false">DATE(YEAR(C50),MONTH(C50)+1,DAY(C50))</f>
        <v>45108</v>
      </c>
      <c r="D51" s="383" t="n">
        <f aca="false">IFERROR(IF(R51*$D$4/100/12/(1-(1+$D$4/100/12)^(-Q51))&lt;G50,ROUNDUP(R51*$D$4/100/12/(1-(1+$D$4/100/12)^(-Q51)),0),G50+F51),0)</f>
        <v>0</v>
      </c>
      <c r="E51" s="384" t="n">
        <f aca="false">D51-F51</f>
        <v>0</v>
      </c>
      <c r="F51" s="384" t="n">
        <f aca="false">G50*$D$4*(C51-C50)/(DATE(YEAR(C51)+1,1,1)-DATE(YEAR(C51),1,1))/100</f>
        <v>0</v>
      </c>
      <c r="G51" s="385" t="n">
        <f aca="false">G50-E51-L51-M51</f>
        <v>0</v>
      </c>
      <c r="H51" s="386" t="n">
        <f aca="false">IFERROR(I51+J51,0)</f>
        <v>0</v>
      </c>
      <c r="I51" s="384" t="n">
        <f aca="false">IFERROR(IF($D$3/$D$5&lt;K50,$D$3/$D$5,K50),0)</f>
        <v>0</v>
      </c>
      <c r="J51" s="384" t="n">
        <f aca="false">K50*$D$4/12/100</f>
        <v>0</v>
      </c>
      <c r="K51" s="387" t="n">
        <f aca="false">K50-I51-L51-M51</f>
        <v>0</v>
      </c>
      <c r="L51" s="388"/>
      <c r="M51" s="402"/>
      <c r="N51" s="409"/>
      <c r="O51" s="409"/>
      <c r="P51" s="391" t="n">
        <f aca="false">IF(ISBLANK(L50),VALUE(P50),ROW(L50))</f>
        <v>10</v>
      </c>
      <c r="Q51" s="314" t="n">
        <f aca="false">Q50+P50-P51</f>
        <v>12</v>
      </c>
      <c r="R51" s="314" t="n">
        <f aca="false">INDEX(G:G,P51,1)</f>
        <v>69000</v>
      </c>
      <c r="S51" s="312"/>
    </row>
    <row r="52" s="379" customFormat="true" ht="14.9" hidden="false" customHeight="false" outlineLevel="0" collapsed="false">
      <c r="A52" s="403" t="n">
        <v>42</v>
      </c>
      <c r="B52" s="381" t="str">
        <f aca="false">CONCATENATE(INT((A52-1)/12)+1,"-й год ",A52-1-INT((A52-1)/12)*12+1,"-й мес")</f>
        <v>4-й год 6-й мес</v>
      </c>
      <c r="C52" s="382" t="n">
        <f aca="false">DATE(YEAR(C51),MONTH(C51)+1,DAY(C51))</f>
        <v>45139</v>
      </c>
      <c r="D52" s="383" t="n">
        <f aca="false">IFERROR(IF(R52*$D$4/100/12/(1-(1+$D$4/100/12)^(-Q52))&lt;G51,ROUNDUP(R52*$D$4/100/12/(1-(1+$D$4/100/12)^(-Q52)),0),G51+F52),0)</f>
        <v>0</v>
      </c>
      <c r="E52" s="384" t="n">
        <f aca="false">D52-F52</f>
        <v>0</v>
      </c>
      <c r="F52" s="384" t="n">
        <f aca="false">G51*$D$4*(C52-C51)/(DATE(YEAR(C52)+1,1,1)-DATE(YEAR(C52),1,1))/100</f>
        <v>0</v>
      </c>
      <c r="G52" s="385" t="n">
        <f aca="false">G51-E52-L52-M52</f>
        <v>0</v>
      </c>
      <c r="H52" s="386" t="n">
        <f aca="false">IFERROR(I52+J52,0)</f>
        <v>0</v>
      </c>
      <c r="I52" s="384" t="n">
        <f aca="false">IFERROR(IF($D$3/$D$5&lt;K51,$D$3/$D$5,K51),0)</f>
        <v>0</v>
      </c>
      <c r="J52" s="384" t="n">
        <f aca="false">K51*$D$4/12/100</f>
        <v>0</v>
      </c>
      <c r="K52" s="387" t="n">
        <f aca="false">K51-I52-L52-M52</f>
        <v>0</v>
      </c>
      <c r="L52" s="388"/>
      <c r="M52" s="402"/>
      <c r="N52" s="409"/>
      <c r="O52" s="409"/>
      <c r="P52" s="391" t="n">
        <f aca="false">IF(ISBLANK(L51),VALUE(P51),ROW(L51))</f>
        <v>10</v>
      </c>
      <c r="Q52" s="314" t="n">
        <f aca="false">Q51+P51-P52</f>
        <v>12</v>
      </c>
      <c r="R52" s="314" t="n">
        <f aca="false">INDEX(G:G,P52,1)</f>
        <v>69000</v>
      </c>
      <c r="S52" s="312"/>
    </row>
    <row r="53" s="379" customFormat="true" ht="14.9" hidden="false" customHeight="false" outlineLevel="0" collapsed="false">
      <c r="A53" s="403" t="n">
        <v>43</v>
      </c>
      <c r="B53" s="381" t="str">
        <f aca="false">CONCATENATE(INT((A53-1)/12)+1,"-й год ",A53-1-INT((A53-1)/12)*12+1,"-й мес")</f>
        <v>4-й год 7-й мес</v>
      </c>
      <c r="C53" s="382" t="n">
        <f aca="false">DATE(YEAR(C52),MONTH(C52)+1,DAY(C52))</f>
        <v>45170</v>
      </c>
      <c r="D53" s="383" t="n">
        <f aca="false">IFERROR(IF(R53*$D$4/100/12/(1-(1+$D$4/100/12)^(-Q53))&lt;G52,ROUNDUP(R53*$D$4/100/12/(1-(1+$D$4/100/12)^(-Q53)),0),G52+F53),0)</f>
        <v>0</v>
      </c>
      <c r="E53" s="384" t="n">
        <f aca="false">D53-F53</f>
        <v>0</v>
      </c>
      <c r="F53" s="384" t="n">
        <f aca="false">G52*$D$4*(C53-C52)/(DATE(YEAR(C53)+1,1,1)-DATE(YEAR(C53),1,1))/100</f>
        <v>0</v>
      </c>
      <c r="G53" s="385" t="n">
        <f aca="false">G52-E53-L53-M53</f>
        <v>0</v>
      </c>
      <c r="H53" s="386" t="n">
        <f aca="false">IFERROR(I53+J53,0)</f>
        <v>0</v>
      </c>
      <c r="I53" s="384" t="n">
        <f aca="false">IFERROR(IF($D$3/$D$5&lt;K52,$D$3/$D$5,K52),0)</f>
        <v>0</v>
      </c>
      <c r="J53" s="384" t="n">
        <f aca="false">K52*$D$4/12/100</f>
        <v>0</v>
      </c>
      <c r="K53" s="387" t="n">
        <f aca="false">K52-I53-L53-M53</f>
        <v>0</v>
      </c>
      <c r="L53" s="388"/>
      <c r="M53" s="402"/>
      <c r="N53" s="409"/>
      <c r="O53" s="409"/>
      <c r="P53" s="391" t="n">
        <f aca="false">IF(ISBLANK(L52),VALUE(P52),ROW(L52))</f>
        <v>10</v>
      </c>
      <c r="Q53" s="314" t="n">
        <f aca="false">Q52+P52-P53</f>
        <v>12</v>
      </c>
      <c r="R53" s="314" t="n">
        <f aca="false">INDEX(G:G,P53,1)</f>
        <v>69000</v>
      </c>
      <c r="S53" s="312"/>
    </row>
    <row r="54" s="379" customFormat="true" ht="14.9" hidden="false" customHeight="false" outlineLevel="0" collapsed="false">
      <c r="A54" s="403" t="n">
        <v>44</v>
      </c>
      <c r="B54" s="381" t="str">
        <f aca="false">CONCATENATE(INT((A54-1)/12)+1,"-й год ",A54-1-INT((A54-1)/12)*12+1,"-й мес")</f>
        <v>4-й год 8-й мес</v>
      </c>
      <c r="C54" s="382" t="n">
        <f aca="false">DATE(YEAR(C53),MONTH(C53)+1,DAY(C53))</f>
        <v>45200</v>
      </c>
      <c r="D54" s="383" t="n">
        <f aca="false">IFERROR(IF(R54*$D$4/100/12/(1-(1+$D$4/100/12)^(-Q54))&lt;G53,ROUNDUP(R54*$D$4/100/12/(1-(1+$D$4/100/12)^(-Q54)),0),G53+F54),0)</f>
        <v>0</v>
      </c>
      <c r="E54" s="384" t="n">
        <f aca="false">D54-F54</f>
        <v>0</v>
      </c>
      <c r="F54" s="384" t="n">
        <f aca="false">G53*$D$4*(C54-C53)/(DATE(YEAR(C54)+1,1,1)-DATE(YEAR(C54),1,1))/100</f>
        <v>0</v>
      </c>
      <c r="G54" s="385" t="n">
        <f aca="false">G53-E54-L54-M54</f>
        <v>0</v>
      </c>
      <c r="H54" s="386" t="n">
        <f aca="false">IFERROR(I54+J54,0)</f>
        <v>0</v>
      </c>
      <c r="I54" s="384" t="n">
        <f aca="false">IFERROR(IF($D$3/$D$5&lt;K53,$D$3/$D$5,K53),0)</f>
        <v>0</v>
      </c>
      <c r="J54" s="384" t="n">
        <f aca="false">K53*$D$4/12/100</f>
        <v>0</v>
      </c>
      <c r="K54" s="387" t="n">
        <f aca="false">K53-I54-L54-M54</f>
        <v>0</v>
      </c>
      <c r="L54" s="388"/>
      <c r="M54" s="402"/>
      <c r="N54" s="409"/>
      <c r="O54" s="409"/>
      <c r="P54" s="391" t="n">
        <f aca="false">IF(ISBLANK(L53),VALUE(P53),ROW(L53))</f>
        <v>10</v>
      </c>
      <c r="Q54" s="314" t="n">
        <f aca="false">Q53+P53-P54</f>
        <v>12</v>
      </c>
      <c r="R54" s="314" t="n">
        <f aca="false">INDEX(G:G,P54,1)</f>
        <v>69000</v>
      </c>
      <c r="S54" s="312"/>
    </row>
    <row r="55" s="379" customFormat="true" ht="14.9" hidden="false" customHeight="false" outlineLevel="0" collapsed="false">
      <c r="A55" s="403" t="n">
        <v>45</v>
      </c>
      <c r="B55" s="381" t="str">
        <f aca="false">CONCATENATE(INT((A55-1)/12)+1,"-й год ",A55-1-INT((A55-1)/12)*12+1,"-й мес")</f>
        <v>4-й год 9-й мес</v>
      </c>
      <c r="C55" s="382" t="n">
        <f aca="false">DATE(YEAR(C54),MONTH(C54)+1,DAY(C54))</f>
        <v>45231</v>
      </c>
      <c r="D55" s="383" t="n">
        <f aca="false">IFERROR(IF(R55*$D$4/100/12/(1-(1+$D$4/100/12)^(-Q55))&lt;G54,ROUNDUP(R55*$D$4/100/12/(1-(1+$D$4/100/12)^(-Q55)),0),G54+F55),0)</f>
        <v>0</v>
      </c>
      <c r="E55" s="384" t="n">
        <f aca="false">D55-F55</f>
        <v>0</v>
      </c>
      <c r="F55" s="384" t="n">
        <f aca="false">G54*$D$4*(C55-C54)/(DATE(YEAR(C55)+1,1,1)-DATE(YEAR(C55),1,1))/100</f>
        <v>0</v>
      </c>
      <c r="G55" s="385" t="n">
        <f aca="false">G54-E55-L55-M55</f>
        <v>0</v>
      </c>
      <c r="H55" s="386" t="n">
        <f aca="false">IFERROR(I55+J55,0)</f>
        <v>0</v>
      </c>
      <c r="I55" s="384" t="n">
        <f aca="false">IFERROR(IF($D$3/$D$5&lt;K54,$D$3/$D$5,K54),0)</f>
        <v>0</v>
      </c>
      <c r="J55" s="384" t="n">
        <f aca="false">K54*$D$4/12/100</f>
        <v>0</v>
      </c>
      <c r="K55" s="387" t="n">
        <f aca="false">K54-I55-L55-M55</f>
        <v>0</v>
      </c>
      <c r="L55" s="388"/>
      <c r="M55" s="402"/>
      <c r="N55" s="409"/>
      <c r="O55" s="409"/>
      <c r="P55" s="391" t="n">
        <f aca="false">IF(ISBLANK(L54),VALUE(P54),ROW(L54))</f>
        <v>10</v>
      </c>
      <c r="Q55" s="314" t="n">
        <f aca="false">Q54+P54-P55</f>
        <v>12</v>
      </c>
      <c r="R55" s="314" t="n">
        <f aca="false">INDEX(G:G,P55,1)</f>
        <v>69000</v>
      </c>
      <c r="S55" s="312"/>
    </row>
    <row r="56" s="379" customFormat="true" ht="14.9" hidden="false" customHeight="false" outlineLevel="0" collapsed="false">
      <c r="A56" s="403" t="n">
        <v>46</v>
      </c>
      <c r="B56" s="381" t="str">
        <f aca="false">CONCATENATE(INT((A56-1)/12)+1,"-й год ",A56-1-INT((A56-1)/12)*12+1,"-й мес")</f>
        <v>4-й год 10-й мес</v>
      </c>
      <c r="C56" s="382" t="n">
        <f aca="false">DATE(YEAR(C55),MONTH(C55)+1,DAY(C55))</f>
        <v>45261</v>
      </c>
      <c r="D56" s="383" t="n">
        <f aca="false">IFERROR(IF(R56*$D$4/100/12/(1-(1+$D$4/100/12)^(-Q56))&lt;G55,ROUNDUP(R56*$D$4/100/12/(1-(1+$D$4/100/12)^(-Q56)),0),G55+F56),0)</f>
        <v>0</v>
      </c>
      <c r="E56" s="384" t="n">
        <f aca="false">D56-F56</f>
        <v>0</v>
      </c>
      <c r="F56" s="384" t="n">
        <f aca="false">G55*$D$4*(C56-C55)/(DATE(YEAR(C56)+1,1,1)-DATE(YEAR(C56),1,1))/100</f>
        <v>0</v>
      </c>
      <c r="G56" s="385" t="n">
        <f aca="false">G55-E56-L56-M56</f>
        <v>0</v>
      </c>
      <c r="H56" s="386" t="n">
        <f aca="false">IFERROR(I56+J56,0)</f>
        <v>0</v>
      </c>
      <c r="I56" s="384" t="n">
        <f aca="false">IFERROR(IF($D$3/$D$5&lt;K55,$D$3/$D$5,K55),0)</f>
        <v>0</v>
      </c>
      <c r="J56" s="384" t="n">
        <f aca="false">K55*$D$4/12/100</f>
        <v>0</v>
      </c>
      <c r="K56" s="387" t="n">
        <f aca="false">K55-I56-L56-M56</f>
        <v>0</v>
      </c>
      <c r="L56" s="388"/>
      <c r="M56" s="402"/>
      <c r="N56" s="409"/>
      <c r="O56" s="409"/>
      <c r="P56" s="391" t="n">
        <f aca="false">IF(ISBLANK(L55),VALUE(P55),ROW(L55))</f>
        <v>10</v>
      </c>
      <c r="Q56" s="314" t="n">
        <f aca="false">Q55+P55-P56</f>
        <v>12</v>
      </c>
      <c r="R56" s="314" t="n">
        <f aca="false">INDEX(G:G,P56,1)</f>
        <v>69000</v>
      </c>
      <c r="S56" s="312"/>
    </row>
    <row r="57" s="379" customFormat="true" ht="14.9" hidden="false" customHeight="false" outlineLevel="0" collapsed="false">
      <c r="A57" s="403" t="n">
        <v>47</v>
      </c>
      <c r="B57" s="381" t="str">
        <f aca="false">CONCATENATE(INT((A57-1)/12)+1,"-й год ",A57-1-INT((A57-1)/12)*12+1,"-й мес")</f>
        <v>4-й год 11-й мес</v>
      </c>
      <c r="C57" s="382" t="n">
        <f aca="false">DATE(YEAR(C56),MONTH(C56)+1,DAY(C56))</f>
        <v>45292</v>
      </c>
      <c r="D57" s="383" t="n">
        <f aca="false">IFERROR(IF(R57*$D$4/100/12/(1-(1+$D$4/100/12)^(-Q57))&lt;G56,ROUNDUP(R57*$D$4/100/12/(1-(1+$D$4/100/12)^(-Q57)),0),G56+F57),0)</f>
        <v>0</v>
      </c>
      <c r="E57" s="384" t="n">
        <f aca="false">D57-F57</f>
        <v>0</v>
      </c>
      <c r="F57" s="384" t="n">
        <f aca="false">G56*$D$4*(C57-C56)/(DATE(YEAR(C57)+1,1,1)-DATE(YEAR(C57),1,1))/100</f>
        <v>0</v>
      </c>
      <c r="G57" s="385" t="n">
        <f aca="false">G56-E57-L57-M57</f>
        <v>0</v>
      </c>
      <c r="H57" s="386" t="n">
        <f aca="false">IFERROR(I57+J57,0)</f>
        <v>0</v>
      </c>
      <c r="I57" s="384" t="n">
        <f aca="false">IFERROR(IF($D$3/$D$5&lt;K56,$D$3/$D$5,K56),0)</f>
        <v>0</v>
      </c>
      <c r="J57" s="384" t="n">
        <f aca="false">K56*$D$4/12/100</f>
        <v>0</v>
      </c>
      <c r="K57" s="387" t="n">
        <f aca="false">K56-I57-L57-M57</f>
        <v>0</v>
      </c>
      <c r="L57" s="388"/>
      <c r="M57" s="402"/>
      <c r="N57" s="409"/>
      <c r="O57" s="409"/>
      <c r="P57" s="391" t="n">
        <f aca="false">IF(ISBLANK(L56),VALUE(P56),ROW(L56))</f>
        <v>10</v>
      </c>
      <c r="Q57" s="314" t="n">
        <f aca="false">Q56+P56-P57</f>
        <v>12</v>
      </c>
      <c r="R57" s="314" t="n">
        <f aca="false">INDEX(G:G,P57,1)</f>
        <v>69000</v>
      </c>
      <c r="S57" s="312"/>
    </row>
    <row r="58" s="379" customFormat="true" ht="14.9" hidden="false" customHeight="false" outlineLevel="0" collapsed="false">
      <c r="A58" s="404" t="n">
        <v>48</v>
      </c>
      <c r="B58" s="392" t="str">
        <f aca="false">CONCATENATE(INT((A58-1)/12)+1,"-й год ",A58-1-INT((A58-1)/12)*12+1,"-й мес")</f>
        <v>4-й год 12-й мес</v>
      </c>
      <c r="C58" s="393" t="n">
        <f aca="false">DATE(YEAR(C57),MONTH(C57)+1,DAY(C57))</f>
        <v>45323</v>
      </c>
      <c r="D58" s="394" t="n">
        <f aca="false">IFERROR(IF(R58*$D$4/100/12/(1-(1+$D$4/100/12)^(-Q58))&lt;G57,ROUNDUP(R58*$D$4/100/12/(1-(1+$D$4/100/12)^(-Q58)),0),G57+F58),0)</f>
        <v>0</v>
      </c>
      <c r="E58" s="395" t="n">
        <f aca="false">D58-F58</f>
        <v>0</v>
      </c>
      <c r="F58" s="395" t="n">
        <f aca="false">G57*$D$4*(C58-C57)/(DATE(YEAR(C58)+1,1,1)-DATE(YEAR(C58),1,1))/100</f>
        <v>0</v>
      </c>
      <c r="G58" s="405" t="n">
        <f aca="false">G57-E58-L58-M58</f>
        <v>0</v>
      </c>
      <c r="H58" s="406" t="n">
        <f aca="false">IFERROR(I58+J58,0)</f>
        <v>0</v>
      </c>
      <c r="I58" s="395" t="n">
        <f aca="false">IFERROR(IF($D$3/$D$5&lt;K57,$D$3/$D$5,K57),0)</f>
        <v>0</v>
      </c>
      <c r="J58" s="395" t="n">
        <f aca="false">K57*$D$4/12/100</f>
        <v>0</v>
      </c>
      <c r="K58" s="407" t="n">
        <f aca="false">K57-I58-L58-M58</f>
        <v>0</v>
      </c>
      <c r="L58" s="408"/>
      <c r="M58" s="402"/>
      <c r="N58" s="409"/>
      <c r="O58" s="409"/>
      <c r="P58" s="391" t="n">
        <f aca="false">IF(ISBLANK(L57),VALUE(P57),ROW(L57))</f>
        <v>10</v>
      </c>
      <c r="Q58" s="314" t="n">
        <f aca="false">Q57+P57-P58</f>
        <v>12</v>
      </c>
      <c r="R58" s="314" t="n">
        <f aca="false">INDEX(G:G,P58,1)</f>
        <v>69000</v>
      </c>
      <c r="S58" s="312"/>
    </row>
    <row r="59" s="379" customFormat="true" ht="14.9" hidden="false" customHeight="false" outlineLevel="0" collapsed="false">
      <c r="A59" s="380" t="n">
        <v>49</v>
      </c>
      <c r="B59" s="381" t="str">
        <f aca="false">CONCATENATE(INT((A59-1)/12)+1,"-й год ",A59-1-INT((A59-1)/12)*12+1,"-й мес")</f>
        <v>5-й год 1-й мес</v>
      </c>
      <c r="C59" s="382" t="n">
        <f aca="false">DATE(YEAR(C58),MONTH(C58)+1,DAY(C58))</f>
        <v>45352</v>
      </c>
      <c r="D59" s="383" t="n">
        <f aca="false">IFERROR(IF(R59*$D$4/100/12/(1-(1+$D$4/100/12)^(-Q59))&lt;G58,ROUNDUP(R59*$D$4/100/12/(1-(1+$D$4/100/12)^(-Q59)),0),G58+F59),0)</f>
        <v>0</v>
      </c>
      <c r="E59" s="384" t="n">
        <f aca="false">D59-F59</f>
        <v>0</v>
      </c>
      <c r="F59" s="384" t="n">
        <f aca="false">G58*$D$4*(C59-C58)/(DATE(YEAR(C59)+1,1,1)-DATE(YEAR(C59),1,1))/100</f>
        <v>0</v>
      </c>
      <c r="G59" s="385" t="n">
        <f aca="false">G58-E59-L59-M59</f>
        <v>0</v>
      </c>
      <c r="H59" s="386" t="n">
        <f aca="false">IFERROR(I59+J59,0)</f>
        <v>0</v>
      </c>
      <c r="I59" s="384" t="n">
        <f aca="false">IFERROR(IF($D$3/$D$5&lt;K58,$D$3/$D$5,K58),0)</f>
        <v>0</v>
      </c>
      <c r="J59" s="384" t="n">
        <f aca="false">K58*$D$4/12/100</f>
        <v>0</v>
      </c>
      <c r="K59" s="387" t="n">
        <f aca="false">K58-I59-L59-M59</f>
        <v>0</v>
      </c>
      <c r="L59" s="388"/>
      <c r="M59" s="402"/>
      <c r="N59" s="409"/>
      <c r="O59" s="409"/>
      <c r="P59" s="391" t="n">
        <f aca="false">IF(ISBLANK(L58),VALUE(P58),ROW(L58))</f>
        <v>10</v>
      </c>
      <c r="Q59" s="314" t="n">
        <f aca="false">Q58+P58-P59</f>
        <v>12</v>
      </c>
      <c r="R59" s="314" t="n">
        <f aca="false">INDEX(G:G,P59,1)</f>
        <v>69000</v>
      </c>
      <c r="S59" s="312"/>
    </row>
    <row r="60" s="379" customFormat="true" ht="14.9" hidden="false" customHeight="false" outlineLevel="0" collapsed="false">
      <c r="A60" s="380" t="n">
        <v>50</v>
      </c>
      <c r="B60" s="381" t="str">
        <f aca="false">CONCATENATE(INT((A60-1)/12)+1,"-й год ",A60-1-INT((A60-1)/12)*12+1,"-й мес")</f>
        <v>5-й год 2-й мес</v>
      </c>
      <c r="C60" s="382" t="n">
        <f aca="false">DATE(YEAR(C59),MONTH(C59)+1,DAY(C59))</f>
        <v>45383</v>
      </c>
      <c r="D60" s="383" t="n">
        <f aca="false">IFERROR(IF(R60*$D$4/100/12/(1-(1+$D$4/100/12)^(-Q60))&lt;G59,ROUNDUP(R60*$D$4/100/12/(1-(1+$D$4/100/12)^(-Q60)),0),G59+F60),0)</f>
        <v>0</v>
      </c>
      <c r="E60" s="384" t="n">
        <f aca="false">D60-F60</f>
        <v>0</v>
      </c>
      <c r="F60" s="384" t="n">
        <f aca="false">G59*$D$4*(C60-C59)/(DATE(YEAR(C60)+1,1,1)-DATE(YEAR(C60),1,1))/100</f>
        <v>0</v>
      </c>
      <c r="G60" s="385" t="n">
        <f aca="false">G59-E60-L60-M60</f>
        <v>0</v>
      </c>
      <c r="H60" s="386" t="n">
        <f aca="false">IFERROR(I60+J60,0)</f>
        <v>0</v>
      </c>
      <c r="I60" s="384" t="n">
        <f aca="false">IFERROR(IF($D$3/$D$5&lt;K59,$D$3/$D$5,K59),0)</f>
        <v>0</v>
      </c>
      <c r="J60" s="384" t="n">
        <f aca="false">K59*$D$4/12/100</f>
        <v>0</v>
      </c>
      <c r="K60" s="387" t="n">
        <f aca="false">K59-I60-L60-M60</f>
        <v>0</v>
      </c>
      <c r="L60" s="388"/>
      <c r="M60" s="402"/>
      <c r="N60" s="409"/>
      <c r="O60" s="409"/>
      <c r="P60" s="391" t="n">
        <f aca="false">IF(ISBLANK(L59),VALUE(P59),ROW(L59))</f>
        <v>10</v>
      </c>
      <c r="Q60" s="314" t="n">
        <f aca="false">Q59+P59-P60</f>
        <v>12</v>
      </c>
      <c r="R60" s="314" t="n">
        <f aca="false">INDEX(G:G,P60,1)</f>
        <v>69000</v>
      </c>
      <c r="S60" s="312"/>
    </row>
    <row r="61" s="379" customFormat="true" ht="14.9" hidden="false" customHeight="false" outlineLevel="0" collapsed="false">
      <c r="A61" s="380" t="n">
        <v>51</v>
      </c>
      <c r="B61" s="381" t="str">
        <f aca="false">CONCATENATE(INT((A61-1)/12)+1,"-й год ",A61-1-INT((A61-1)/12)*12+1,"-й мес")</f>
        <v>5-й год 3-й мес</v>
      </c>
      <c r="C61" s="382" t="n">
        <f aca="false">DATE(YEAR(C60),MONTH(C60)+1,DAY(C60))</f>
        <v>45413</v>
      </c>
      <c r="D61" s="383" t="n">
        <f aca="false">IFERROR(IF(R61*$D$4/100/12/(1-(1+$D$4/100/12)^(-Q61))&lt;G60,ROUNDUP(R61*$D$4/100/12/(1-(1+$D$4/100/12)^(-Q61)),0),G60+F61),0)</f>
        <v>0</v>
      </c>
      <c r="E61" s="384" t="n">
        <f aca="false">D61-F61</f>
        <v>0</v>
      </c>
      <c r="F61" s="384" t="n">
        <f aca="false">G60*$D$4*(C61-C60)/(DATE(YEAR(C61)+1,1,1)-DATE(YEAR(C61),1,1))/100</f>
        <v>0</v>
      </c>
      <c r="G61" s="385" t="n">
        <f aca="false">G60-E61-L61-M61</f>
        <v>0</v>
      </c>
      <c r="H61" s="386" t="n">
        <f aca="false">IFERROR(I61+J61,0)</f>
        <v>0</v>
      </c>
      <c r="I61" s="384" t="n">
        <f aca="false">IFERROR(IF($D$3/$D$5&lt;K60,$D$3/$D$5,K60),0)</f>
        <v>0</v>
      </c>
      <c r="J61" s="384" t="n">
        <f aca="false">K60*$D$4/12/100</f>
        <v>0</v>
      </c>
      <c r="K61" s="387" t="n">
        <f aca="false">K60-I61-L61-M61</f>
        <v>0</v>
      </c>
      <c r="L61" s="388"/>
      <c r="M61" s="402"/>
      <c r="N61" s="409"/>
      <c r="O61" s="409"/>
      <c r="P61" s="391" t="n">
        <f aca="false">IF(ISBLANK(L60),VALUE(P60),ROW(L60))</f>
        <v>10</v>
      </c>
      <c r="Q61" s="314" t="n">
        <f aca="false">Q60+P60-P61</f>
        <v>12</v>
      </c>
      <c r="R61" s="314" t="n">
        <f aca="false">INDEX(G:G,P61,1)</f>
        <v>69000</v>
      </c>
      <c r="S61" s="312"/>
    </row>
    <row r="62" s="379" customFormat="true" ht="14.9" hidden="false" customHeight="false" outlineLevel="0" collapsed="false">
      <c r="A62" s="380" t="n">
        <v>52</v>
      </c>
      <c r="B62" s="381" t="str">
        <f aca="false">CONCATENATE(INT((A62-1)/12)+1,"-й год ",A62-1-INT((A62-1)/12)*12+1,"-й мес")</f>
        <v>5-й год 4-й мес</v>
      </c>
      <c r="C62" s="382" t="n">
        <f aca="false">DATE(YEAR(C61),MONTH(C61)+1,DAY(C61))</f>
        <v>45444</v>
      </c>
      <c r="D62" s="383" t="n">
        <f aca="false">IFERROR(IF(R62*$D$4/100/12/(1-(1+$D$4/100/12)^(-Q62))&lt;G61,ROUNDUP(R62*$D$4/100/12/(1-(1+$D$4/100/12)^(-Q62)),0),G61+F62),0)</f>
        <v>0</v>
      </c>
      <c r="E62" s="384" t="n">
        <f aca="false">D62-F62</f>
        <v>0</v>
      </c>
      <c r="F62" s="384" t="n">
        <f aca="false">G61*$D$4*(C62-C61)/(DATE(YEAR(C62)+1,1,1)-DATE(YEAR(C62),1,1))/100</f>
        <v>0</v>
      </c>
      <c r="G62" s="385" t="n">
        <f aca="false">G61-E62-L62-M62</f>
        <v>0</v>
      </c>
      <c r="H62" s="386" t="n">
        <f aca="false">IFERROR(I62+J62,0)</f>
        <v>0</v>
      </c>
      <c r="I62" s="384" t="n">
        <f aca="false">IFERROR(IF($D$3/$D$5&lt;K61,$D$3/$D$5,K61),0)</f>
        <v>0</v>
      </c>
      <c r="J62" s="384" t="n">
        <f aca="false">K61*$D$4/12/100</f>
        <v>0</v>
      </c>
      <c r="K62" s="387" t="n">
        <f aca="false">K61-I62-L62-M62</f>
        <v>0</v>
      </c>
      <c r="L62" s="388"/>
      <c r="M62" s="402"/>
      <c r="N62" s="409"/>
      <c r="O62" s="409"/>
      <c r="P62" s="391" t="n">
        <f aca="false">IF(ISBLANK(L61),VALUE(P61),ROW(L61))</f>
        <v>10</v>
      </c>
      <c r="Q62" s="314" t="n">
        <f aca="false">Q61+P61-P62</f>
        <v>12</v>
      </c>
      <c r="R62" s="314" t="n">
        <f aca="false">INDEX(G:G,P62,1)</f>
        <v>69000</v>
      </c>
      <c r="S62" s="312"/>
    </row>
    <row r="63" s="379" customFormat="true" ht="14.9" hidden="false" customHeight="false" outlineLevel="0" collapsed="false">
      <c r="A63" s="380" t="n">
        <v>53</v>
      </c>
      <c r="B63" s="381" t="str">
        <f aca="false">CONCATENATE(INT((A63-1)/12)+1,"-й год ",A63-1-INT((A63-1)/12)*12+1,"-й мес")</f>
        <v>5-й год 5-й мес</v>
      </c>
      <c r="C63" s="382" t="n">
        <f aca="false">DATE(YEAR(C62),MONTH(C62)+1,DAY(C62))</f>
        <v>45474</v>
      </c>
      <c r="D63" s="383" t="n">
        <f aca="false">IFERROR(IF(R63*$D$4/100/12/(1-(1+$D$4/100/12)^(-Q63))&lt;G62,ROUNDUP(R63*$D$4/100/12/(1-(1+$D$4/100/12)^(-Q63)),0),G62+F63),0)</f>
        <v>0</v>
      </c>
      <c r="E63" s="384" t="n">
        <f aca="false">D63-F63</f>
        <v>0</v>
      </c>
      <c r="F63" s="384" t="n">
        <f aca="false">G62*$D$4*(C63-C62)/(DATE(YEAR(C63)+1,1,1)-DATE(YEAR(C63),1,1))/100</f>
        <v>0</v>
      </c>
      <c r="G63" s="385" t="n">
        <f aca="false">G62-E63-L63-M63</f>
        <v>0</v>
      </c>
      <c r="H63" s="386" t="n">
        <f aca="false">IFERROR(I63+J63,0)</f>
        <v>0</v>
      </c>
      <c r="I63" s="384" t="n">
        <f aca="false">IFERROR(IF($D$3/$D$5&lt;K62,$D$3/$D$5,K62),0)</f>
        <v>0</v>
      </c>
      <c r="J63" s="384" t="n">
        <f aca="false">K62*$D$4/12/100</f>
        <v>0</v>
      </c>
      <c r="K63" s="387" t="n">
        <f aca="false">K62-I63-L63-M63</f>
        <v>0</v>
      </c>
      <c r="L63" s="388"/>
      <c r="M63" s="402"/>
      <c r="N63" s="409"/>
      <c r="O63" s="409"/>
      <c r="P63" s="391" t="n">
        <f aca="false">IF(ISBLANK(L62),VALUE(P62),ROW(L62))</f>
        <v>10</v>
      </c>
      <c r="Q63" s="314" t="n">
        <f aca="false">Q62+P62-P63</f>
        <v>12</v>
      </c>
      <c r="R63" s="314" t="n">
        <f aca="false">INDEX(G:G,P63,1)</f>
        <v>69000</v>
      </c>
      <c r="S63" s="312"/>
    </row>
    <row r="64" s="379" customFormat="true" ht="14.9" hidden="false" customHeight="false" outlineLevel="0" collapsed="false">
      <c r="A64" s="380" t="n">
        <v>54</v>
      </c>
      <c r="B64" s="381" t="str">
        <f aca="false">CONCATENATE(INT((A64-1)/12)+1,"-й год ",A64-1-INT((A64-1)/12)*12+1,"-й мес")</f>
        <v>5-й год 6-й мес</v>
      </c>
      <c r="C64" s="382" t="n">
        <f aca="false">DATE(YEAR(C63),MONTH(C63)+1,DAY(C63))</f>
        <v>45505</v>
      </c>
      <c r="D64" s="383" t="n">
        <f aca="false">IFERROR(IF(R64*$D$4/100/12/(1-(1+$D$4/100/12)^(-Q64))&lt;G63,ROUNDUP(R64*$D$4/100/12/(1-(1+$D$4/100/12)^(-Q64)),0),G63+F64),0)</f>
        <v>0</v>
      </c>
      <c r="E64" s="384" t="n">
        <f aca="false">D64-F64</f>
        <v>0</v>
      </c>
      <c r="F64" s="384" t="n">
        <f aca="false">G63*$D$4*(C64-C63)/(DATE(YEAR(C64)+1,1,1)-DATE(YEAR(C64),1,1))/100</f>
        <v>0</v>
      </c>
      <c r="G64" s="385" t="n">
        <f aca="false">G63-E64-L64-M64</f>
        <v>0</v>
      </c>
      <c r="H64" s="386" t="n">
        <f aca="false">IFERROR(I64+J64,0)</f>
        <v>0</v>
      </c>
      <c r="I64" s="384" t="n">
        <f aca="false">IFERROR(IF($D$3/$D$5&lt;K63,$D$3/$D$5,K63),0)</f>
        <v>0</v>
      </c>
      <c r="J64" s="384" t="n">
        <f aca="false">K63*$D$4/12/100</f>
        <v>0</v>
      </c>
      <c r="K64" s="387" t="n">
        <f aca="false">K63-I64-L64-M64</f>
        <v>0</v>
      </c>
      <c r="L64" s="388"/>
      <c r="M64" s="402"/>
      <c r="N64" s="409"/>
      <c r="O64" s="409"/>
      <c r="P64" s="391" t="n">
        <f aca="false">IF(ISBLANK(L63),VALUE(P63),ROW(L63))</f>
        <v>10</v>
      </c>
      <c r="Q64" s="314" t="n">
        <f aca="false">Q63+P63-P64</f>
        <v>12</v>
      </c>
      <c r="R64" s="314" t="n">
        <f aca="false">INDEX(G:G,P64,1)</f>
        <v>69000</v>
      </c>
      <c r="S64" s="312"/>
    </row>
    <row r="65" s="379" customFormat="true" ht="14.9" hidden="false" customHeight="false" outlineLevel="0" collapsed="false">
      <c r="A65" s="380" t="n">
        <v>55</v>
      </c>
      <c r="B65" s="381" t="str">
        <f aca="false">CONCATENATE(INT((A65-1)/12)+1,"-й год ",A65-1-INT((A65-1)/12)*12+1,"-й мес")</f>
        <v>5-й год 7-й мес</v>
      </c>
      <c r="C65" s="382" t="n">
        <f aca="false">DATE(YEAR(C64),MONTH(C64)+1,DAY(C64))</f>
        <v>45536</v>
      </c>
      <c r="D65" s="383" t="n">
        <f aca="false">IFERROR(IF(R65*$D$4/100/12/(1-(1+$D$4/100/12)^(-Q65))&lt;G64,ROUNDUP(R65*$D$4/100/12/(1-(1+$D$4/100/12)^(-Q65)),0),G64+F65),0)</f>
        <v>0</v>
      </c>
      <c r="E65" s="384" t="n">
        <f aca="false">D65-F65</f>
        <v>0</v>
      </c>
      <c r="F65" s="384" t="n">
        <f aca="false">G64*$D$4*(C65-C64)/(DATE(YEAR(C65)+1,1,1)-DATE(YEAR(C65),1,1))/100</f>
        <v>0</v>
      </c>
      <c r="G65" s="385" t="n">
        <f aca="false">G64-E65-L65-M65</f>
        <v>0</v>
      </c>
      <c r="H65" s="386" t="n">
        <f aca="false">IFERROR(I65+J65,0)</f>
        <v>0</v>
      </c>
      <c r="I65" s="384" t="n">
        <f aca="false">IFERROR(IF($D$3/$D$5&lt;K64,$D$3/$D$5,K64),0)</f>
        <v>0</v>
      </c>
      <c r="J65" s="384" t="n">
        <f aca="false">K64*$D$4/12/100</f>
        <v>0</v>
      </c>
      <c r="K65" s="387" t="n">
        <f aca="false">K64-I65-L65-M65</f>
        <v>0</v>
      </c>
      <c r="L65" s="388"/>
      <c r="M65" s="402"/>
      <c r="N65" s="409"/>
      <c r="O65" s="409"/>
      <c r="P65" s="391" t="n">
        <f aca="false">IF(ISBLANK(L64),VALUE(P64),ROW(L64))</f>
        <v>10</v>
      </c>
      <c r="Q65" s="314" t="n">
        <f aca="false">Q64+P64-P65</f>
        <v>12</v>
      </c>
      <c r="R65" s="314" t="n">
        <f aca="false">INDEX(G:G,P65,1)</f>
        <v>69000</v>
      </c>
      <c r="S65" s="312"/>
    </row>
    <row r="66" s="379" customFormat="true" ht="14.9" hidden="false" customHeight="false" outlineLevel="0" collapsed="false">
      <c r="A66" s="380" t="n">
        <v>56</v>
      </c>
      <c r="B66" s="381" t="str">
        <f aca="false">CONCATENATE(INT((A66-1)/12)+1,"-й год ",A66-1-INT((A66-1)/12)*12+1,"-й мес")</f>
        <v>5-й год 8-й мес</v>
      </c>
      <c r="C66" s="382" t="n">
        <f aca="false">DATE(YEAR(C65),MONTH(C65)+1,DAY(C65))</f>
        <v>45566</v>
      </c>
      <c r="D66" s="383" t="n">
        <f aca="false">IFERROR(IF(R66*$D$4/100/12/(1-(1+$D$4/100/12)^(-Q66))&lt;G65,ROUNDUP(R66*$D$4/100/12/(1-(1+$D$4/100/12)^(-Q66)),0),G65+F66),0)</f>
        <v>0</v>
      </c>
      <c r="E66" s="384" t="n">
        <f aca="false">D66-F66</f>
        <v>0</v>
      </c>
      <c r="F66" s="384" t="n">
        <f aca="false">G65*$D$4*(C66-C65)/(DATE(YEAR(C66)+1,1,1)-DATE(YEAR(C66),1,1))/100</f>
        <v>0</v>
      </c>
      <c r="G66" s="385" t="n">
        <f aca="false">G65-E66-L66-M66</f>
        <v>0</v>
      </c>
      <c r="H66" s="386" t="n">
        <f aca="false">IFERROR(I66+J66,0)</f>
        <v>0</v>
      </c>
      <c r="I66" s="384" t="n">
        <f aca="false">IFERROR(IF($D$3/$D$5&lt;K65,$D$3/$D$5,K65),0)</f>
        <v>0</v>
      </c>
      <c r="J66" s="384" t="n">
        <f aca="false">K65*$D$4/12/100</f>
        <v>0</v>
      </c>
      <c r="K66" s="387" t="n">
        <f aca="false">K65-I66-L66-M66</f>
        <v>0</v>
      </c>
      <c r="L66" s="388"/>
      <c r="M66" s="402"/>
      <c r="N66" s="409"/>
      <c r="O66" s="409"/>
      <c r="P66" s="391" t="n">
        <f aca="false">IF(ISBLANK(L65),VALUE(P65),ROW(L65))</f>
        <v>10</v>
      </c>
      <c r="Q66" s="314" t="n">
        <f aca="false">Q65+P65-P66</f>
        <v>12</v>
      </c>
      <c r="R66" s="314" t="n">
        <f aca="false">INDEX(G:G,P66,1)</f>
        <v>69000</v>
      </c>
      <c r="S66" s="312"/>
    </row>
    <row r="67" s="379" customFormat="true" ht="14.9" hidden="false" customHeight="false" outlineLevel="0" collapsed="false">
      <c r="A67" s="380" t="n">
        <v>57</v>
      </c>
      <c r="B67" s="381" t="str">
        <f aca="false">CONCATENATE(INT((A67-1)/12)+1,"-й год ",A67-1-INT((A67-1)/12)*12+1,"-й мес")</f>
        <v>5-й год 9-й мес</v>
      </c>
      <c r="C67" s="382" t="n">
        <f aca="false">DATE(YEAR(C66),MONTH(C66)+1,DAY(C66))</f>
        <v>45597</v>
      </c>
      <c r="D67" s="383" t="n">
        <f aca="false">IFERROR(IF(R67*$D$4/100/12/(1-(1+$D$4/100/12)^(-Q67))&lt;G66,ROUNDUP(R67*$D$4/100/12/(1-(1+$D$4/100/12)^(-Q67)),0),G66+F67),0)</f>
        <v>0</v>
      </c>
      <c r="E67" s="384" t="n">
        <f aca="false">D67-F67</f>
        <v>0</v>
      </c>
      <c r="F67" s="384" t="n">
        <f aca="false">G66*$D$4*(C67-C66)/(DATE(YEAR(C67)+1,1,1)-DATE(YEAR(C67),1,1))/100</f>
        <v>0</v>
      </c>
      <c r="G67" s="385" t="n">
        <f aca="false">G66-E67-L67-M67</f>
        <v>0</v>
      </c>
      <c r="H67" s="386" t="n">
        <f aca="false">IFERROR(I67+J67,0)</f>
        <v>0</v>
      </c>
      <c r="I67" s="384" t="n">
        <f aca="false">IFERROR(IF($D$3/$D$5&lt;K66,$D$3/$D$5,K66),0)</f>
        <v>0</v>
      </c>
      <c r="J67" s="384" t="n">
        <f aca="false">K66*$D$4/12/100</f>
        <v>0</v>
      </c>
      <c r="K67" s="387" t="n">
        <f aca="false">K66-I67-L67-M67</f>
        <v>0</v>
      </c>
      <c r="L67" s="388"/>
      <c r="M67" s="402"/>
      <c r="N67" s="409"/>
      <c r="O67" s="409"/>
      <c r="P67" s="391" t="n">
        <f aca="false">IF(ISBLANK(L66),VALUE(P66),ROW(L66))</f>
        <v>10</v>
      </c>
      <c r="Q67" s="314" t="n">
        <f aca="false">Q66+P66-P67</f>
        <v>12</v>
      </c>
      <c r="R67" s="314" t="n">
        <f aca="false">INDEX(G:G,P67,1)</f>
        <v>69000</v>
      </c>
      <c r="S67" s="312"/>
    </row>
    <row r="68" s="379" customFormat="true" ht="14.9" hidden="false" customHeight="false" outlineLevel="0" collapsed="false">
      <c r="A68" s="380" t="n">
        <v>58</v>
      </c>
      <c r="B68" s="381" t="str">
        <f aca="false">CONCATENATE(INT((A68-1)/12)+1,"-й год ",A68-1-INT((A68-1)/12)*12+1,"-й мес")</f>
        <v>5-й год 10-й мес</v>
      </c>
      <c r="C68" s="382" t="n">
        <f aca="false">DATE(YEAR(C67),MONTH(C67)+1,DAY(C67))</f>
        <v>45627</v>
      </c>
      <c r="D68" s="383" t="n">
        <f aca="false">IFERROR(IF(R68*$D$4/100/12/(1-(1+$D$4/100/12)^(-Q68))&lt;G67,ROUNDUP(R68*$D$4/100/12/(1-(1+$D$4/100/12)^(-Q68)),0),G67+F68),0)</f>
        <v>0</v>
      </c>
      <c r="E68" s="384" t="n">
        <f aca="false">D68-F68</f>
        <v>0</v>
      </c>
      <c r="F68" s="384" t="n">
        <f aca="false">G67*$D$4*(C68-C67)/(DATE(YEAR(C68)+1,1,1)-DATE(YEAR(C68),1,1))/100</f>
        <v>0</v>
      </c>
      <c r="G68" s="385" t="n">
        <f aca="false">G67-E68-L68-M68</f>
        <v>0</v>
      </c>
      <c r="H68" s="386" t="n">
        <f aca="false">IFERROR(I68+J68,0)</f>
        <v>0</v>
      </c>
      <c r="I68" s="384" t="n">
        <f aca="false">IFERROR(IF($D$3/$D$5&lt;K67,$D$3/$D$5,K67),0)</f>
        <v>0</v>
      </c>
      <c r="J68" s="384" t="n">
        <f aca="false">K67*$D$4/12/100</f>
        <v>0</v>
      </c>
      <c r="K68" s="387" t="n">
        <f aca="false">K67-I68-L68-M68</f>
        <v>0</v>
      </c>
      <c r="L68" s="388"/>
      <c r="M68" s="402"/>
      <c r="N68" s="409"/>
      <c r="O68" s="409"/>
      <c r="P68" s="391" t="n">
        <f aca="false">IF(ISBLANK(L67),VALUE(P67),ROW(L67))</f>
        <v>10</v>
      </c>
      <c r="Q68" s="314" t="n">
        <f aca="false">Q67+P67-P68</f>
        <v>12</v>
      </c>
      <c r="R68" s="314" t="n">
        <f aca="false">INDEX(G:G,P68,1)</f>
        <v>69000</v>
      </c>
      <c r="S68" s="312"/>
    </row>
    <row r="69" s="379" customFormat="true" ht="14.9" hidden="false" customHeight="false" outlineLevel="0" collapsed="false">
      <c r="A69" s="380" t="n">
        <v>59</v>
      </c>
      <c r="B69" s="381" t="str">
        <f aca="false">CONCATENATE(INT((A69-1)/12)+1,"-й год ",A69-1-INT((A69-1)/12)*12+1,"-й мес")</f>
        <v>5-й год 11-й мес</v>
      </c>
      <c r="C69" s="382" t="n">
        <f aca="false">DATE(YEAR(C68),MONTH(C68)+1,DAY(C68))</f>
        <v>45658</v>
      </c>
      <c r="D69" s="383" t="n">
        <f aca="false">IFERROR(IF(R69*$D$4/100/12/(1-(1+$D$4/100/12)^(-Q69))&lt;G68,ROUNDUP(R69*$D$4/100/12/(1-(1+$D$4/100/12)^(-Q69)),0),G68+F69),0)</f>
        <v>0</v>
      </c>
      <c r="E69" s="384" t="n">
        <f aca="false">D69-F69</f>
        <v>0</v>
      </c>
      <c r="F69" s="384" t="n">
        <f aca="false">G68*$D$4*(C69-C68)/(DATE(YEAR(C69)+1,1,1)-DATE(YEAR(C69),1,1))/100</f>
        <v>0</v>
      </c>
      <c r="G69" s="385" t="n">
        <f aca="false">G68-E69-L69-M69</f>
        <v>0</v>
      </c>
      <c r="H69" s="386" t="n">
        <f aca="false">IFERROR(I69+J69,0)</f>
        <v>0</v>
      </c>
      <c r="I69" s="384" t="n">
        <f aca="false">IFERROR(IF($D$3/$D$5&lt;K68,$D$3/$D$5,K68),0)</f>
        <v>0</v>
      </c>
      <c r="J69" s="384" t="n">
        <f aca="false">K68*$D$4/12/100</f>
        <v>0</v>
      </c>
      <c r="K69" s="387" t="n">
        <f aca="false">K68-I69-L69-M69</f>
        <v>0</v>
      </c>
      <c r="L69" s="388"/>
      <c r="M69" s="402"/>
      <c r="N69" s="409"/>
      <c r="O69" s="409"/>
      <c r="P69" s="391" t="n">
        <f aca="false">IF(ISBLANK(L68),VALUE(P68),ROW(L68))</f>
        <v>10</v>
      </c>
      <c r="Q69" s="314" t="n">
        <f aca="false">Q68+P68-P69</f>
        <v>12</v>
      </c>
      <c r="R69" s="314" t="n">
        <f aca="false">INDEX(G:G,P69,1)</f>
        <v>69000</v>
      </c>
      <c r="S69" s="312"/>
    </row>
    <row r="70" s="379" customFormat="true" ht="14.9" hidden="false" customHeight="false" outlineLevel="0" collapsed="false">
      <c r="A70" s="380" t="n">
        <v>60</v>
      </c>
      <c r="B70" s="392" t="str">
        <f aca="false">CONCATENATE(INT((A70-1)/12)+1,"-й год ",A70-1-INT((A70-1)/12)*12+1,"-й мес")</f>
        <v>5-й год 12-й мес</v>
      </c>
      <c r="C70" s="393" t="n">
        <f aca="false">DATE(YEAR(C69),MONTH(C69)+1,DAY(C69))</f>
        <v>45689</v>
      </c>
      <c r="D70" s="394" t="n">
        <f aca="false">IFERROR(IF(R70*$D$4/100/12/(1-(1+$D$4/100/12)^(-Q70))&lt;G69,ROUNDUP(R70*$D$4/100/12/(1-(1+$D$4/100/12)^(-Q70)),0),G69+F70),0)</f>
        <v>0</v>
      </c>
      <c r="E70" s="395" t="n">
        <f aca="false">D70-F70</f>
        <v>0</v>
      </c>
      <c r="F70" s="395" t="n">
        <f aca="false">G69*$D$4*(C70-C69)/(DATE(YEAR(C70)+1,1,1)-DATE(YEAR(C70),1,1))/100</f>
        <v>0</v>
      </c>
      <c r="G70" s="385" t="n">
        <f aca="false">G69-E70-L70-M70</f>
        <v>0</v>
      </c>
      <c r="H70" s="386" t="n">
        <f aca="false">IFERROR(I70+J70,0)</f>
        <v>0</v>
      </c>
      <c r="I70" s="384" t="n">
        <f aca="false">IFERROR(IF($D$3/$D$5&lt;K69,$D$3/$D$5,K69),0)</f>
        <v>0</v>
      </c>
      <c r="J70" s="384" t="n">
        <f aca="false">K69*$D$4/12/100</f>
        <v>0</v>
      </c>
      <c r="K70" s="387" t="n">
        <f aca="false">K69-I70-L70-M70</f>
        <v>0</v>
      </c>
      <c r="L70" s="388"/>
      <c r="M70" s="402"/>
      <c r="N70" s="409"/>
      <c r="O70" s="409"/>
      <c r="P70" s="391" t="n">
        <f aca="false">IF(ISBLANK(L69),VALUE(P69),ROW(L69))</f>
        <v>10</v>
      </c>
      <c r="Q70" s="314" t="n">
        <f aca="false">Q69+P69-P70</f>
        <v>12</v>
      </c>
      <c r="R70" s="314" t="n">
        <f aca="false">INDEX(G:G,P70,1)</f>
        <v>69000</v>
      </c>
      <c r="S70" s="312"/>
    </row>
    <row r="71" s="379" customFormat="true" ht="14.9" hidden="false" customHeight="false" outlineLevel="0" collapsed="false">
      <c r="A71" s="396" t="n">
        <v>61</v>
      </c>
      <c r="B71" s="381" t="str">
        <f aca="false">CONCATENATE(INT((A71-1)/12)+1,"-й год ",A71-1-INT((A71-1)/12)*12+1,"-й мес")</f>
        <v>6-й год 1-й мес</v>
      </c>
      <c r="C71" s="382" t="n">
        <f aca="false">DATE(YEAR(C70),MONTH(C70)+1,DAY(C70))</f>
        <v>45717</v>
      </c>
      <c r="D71" s="383" t="n">
        <f aca="false">IFERROR(IF(R71*$D$4/100/12/(1-(1+$D$4/100/12)^(-Q71))&lt;G70,ROUNDUP(R71*$D$4/100/12/(1-(1+$D$4/100/12)^(-Q71)),0),G70+F71),0)</f>
        <v>0</v>
      </c>
      <c r="E71" s="384" t="n">
        <f aca="false">D71-F71</f>
        <v>0</v>
      </c>
      <c r="F71" s="384" t="n">
        <f aca="false">G70*$D$4*(C71-C70)/(DATE(YEAR(C71)+1,1,1)-DATE(YEAR(C71),1,1))/100</f>
        <v>0</v>
      </c>
      <c r="G71" s="397" t="n">
        <f aca="false">G70-E71-L71-M71</f>
        <v>0</v>
      </c>
      <c r="H71" s="398" t="n">
        <f aca="false">IFERROR(I71+J71,0)</f>
        <v>0</v>
      </c>
      <c r="I71" s="399" t="n">
        <f aca="false">IFERROR(IF($D$3/$D$5&lt;K70,$D$3/$D$5,K70),0)</f>
        <v>0</v>
      </c>
      <c r="J71" s="399" t="n">
        <f aca="false">K70*$D$4/12/100</f>
        <v>0</v>
      </c>
      <c r="K71" s="400" t="n">
        <f aca="false">K70-I71-L71-M71</f>
        <v>0</v>
      </c>
      <c r="L71" s="401"/>
      <c r="M71" s="402"/>
      <c r="N71" s="409"/>
      <c r="O71" s="409"/>
      <c r="P71" s="391" t="n">
        <f aca="false">IF(ISBLANK(L70),VALUE(P70),ROW(L70))</f>
        <v>10</v>
      </c>
      <c r="Q71" s="314" t="n">
        <f aca="false">Q70+P70-P71</f>
        <v>12</v>
      </c>
      <c r="R71" s="314" t="n">
        <f aca="false">INDEX(G:G,P71,1)</f>
        <v>69000</v>
      </c>
      <c r="S71" s="312"/>
    </row>
    <row r="72" s="379" customFormat="true" ht="14.9" hidden="false" customHeight="false" outlineLevel="0" collapsed="false">
      <c r="A72" s="403" t="n">
        <v>62</v>
      </c>
      <c r="B72" s="381" t="str">
        <f aca="false">CONCATENATE(INT((A72-1)/12)+1,"-й год ",A72-1-INT((A72-1)/12)*12+1,"-й мес")</f>
        <v>6-й год 2-й мес</v>
      </c>
      <c r="C72" s="382" t="n">
        <f aca="false">DATE(YEAR(C71),MONTH(C71)+1,DAY(C71))</f>
        <v>45748</v>
      </c>
      <c r="D72" s="383" t="n">
        <f aca="false">IFERROR(IF(R72*$D$4/100/12/(1-(1+$D$4/100/12)^(-Q72))&lt;G71,ROUNDUP(R72*$D$4/100/12/(1-(1+$D$4/100/12)^(-Q72)),0),G71+F72),0)</f>
        <v>0</v>
      </c>
      <c r="E72" s="384" t="n">
        <f aca="false">D72-F72</f>
        <v>0</v>
      </c>
      <c r="F72" s="384" t="n">
        <f aca="false">G71*$D$4*(C72-C71)/(DATE(YEAR(C72)+1,1,1)-DATE(YEAR(C72),1,1))/100</f>
        <v>0</v>
      </c>
      <c r="G72" s="385" t="n">
        <f aca="false">G71-E72-L72-M72</f>
        <v>0</v>
      </c>
      <c r="H72" s="386" t="n">
        <f aca="false">IFERROR(I72+J72,0)</f>
        <v>0</v>
      </c>
      <c r="I72" s="384" t="n">
        <f aca="false">IFERROR(IF($D$3/$D$5&lt;K71,$D$3/$D$5,K71),0)</f>
        <v>0</v>
      </c>
      <c r="J72" s="384" t="n">
        <f aca="false">K71*$D$4/12/100</f>
        <v>0</v>
      </c>
      <c r="K72" s="387" t="n">
        <f aca="false">K71-I72-L72-M72</f>
        <v>0</v>
      </c>
      <c r="L72" s="388"/>
      <c r="M72" s="402"/>
      <c r="N72" s="409"/>
      <c r="O72" s="409"/>
      <c r="P72" s="391" t="n">
        <f aca="false">IF(ISBLANK(L71),VALUE(P71),ROW(L71))</f>
        <v>10</v>
      </c>
      <c r="Q72" s="314" t="n">
        <f aca="false">Q71+P71-P72</f>
        <v>12</v>
      </c>
      <c r="R72" s="314" t="n">
        <f aca="false">INDEX(G:G,P72,1)</f>
        <v>69000</v>
      </c>
      <c r="S72" s="312"/>
    </row>
    <row r="73" s="379" customFormat="true" ht="14.9" hidden="false" customHeight="false" outlineLevel="0" collapsed="false">
      <c r="A73" s="403" t="n">
        <v>63</v>
      </c>
      <c r="B73" s="381" t="str">
        <f aca="false">CONCATENATE(INT((A73-1)/12)+1,"-й год ",A73-1-INT((A73-1)/12)*12+1,"-й мес")</f>
        <v>6-й год 3-й мес</v>
      </c>
      <c r="C73" s="382" t="n">
        <f aca="false">DATE(YEAR(C72),MONTH(C72)+1,DAY(C72))</f>
        <v>45778</v>
      </c>
      <c r="D73" s="383" t="n">
        <f aca="false">IFERROR(IF(R73*$D$4/100/12/(1-(1+$D$4/100/12)^(-Q73))&lt;G72,ROUNDUP(R73*$D$4/100/12/(1-(1+$D$4/100/12)^(-Q73)),0),G72+F73),0)</f>
        <v>0</v>
      </c>
      <c r="E73" s="384" t="n">
        <f aca="false">D73-F73</f>
        <v>0</v>
      </c>
      <c r="F73" s="384" t="n">
        <f aca="false">G72*$D$4*(C73-C72)/(DATE(YEAR(C73)+1,1,1)-DATE(YEAR(C73),1,1))/100</f>
        <v>0</v>
      </c>
      <c r="G73" s="385" t="n">
        <f aca="false">G72-E73-L73-M73</f>
        <v>0</v>
      </c>
      <c r="H73" s="386" t="n">
        <f aca="false">IFERROR(I73+J73,0)</f>
        <v>0</v>
      </c>
      <c r="I73" s="384" t="n">
        <f aca="false">IFERROR(IF($D$3/$D$5&lt;K72,$D$3/$D$5,K72),0)</f>
        <v>0</v>
      </c>
      <c r="J73" s="384" t="n">
        <f aca="false">K72*$D$4/12/100</f>
        <v>0</v>
      </c>
      <c r="K73" s="387" t="n">
        <f aca="false">K72-I73-L73-M73</f>
        <v>0</v>
      </c>
      <c r="L73" s="388"/>
      <c r="M73" s="402"/>
      <c r="N73" s="409"/>
      <c r="O73" s="409"/>
      <c r="P73" s="391" t="n">
        <f aca="false">IF(ISBLANK(L72),VALUE(P72),ROW(L72))</f>
        <v>10</v>
      </c>
      <c r="Q73" s="314" t="n">
        <f aca="false">Q72+P72-P73</f>
        <v>12</v>
      </c>
      <c r="R73" s="314" t="n">
        <f aca="false">INDEX(G:G,P73,1)</f>
        <v>69000</v>
      </c>
      <c r="S73" s="312"/>
    </row>
    <row r="74" s="379" customFormat="true" ht="14.9" hidden="false" customHeight="false" outlineLevel="0" collapsed="false">
      <c r="A74" s="403" t="n">
        <v>64</v>
      </c>
      <c r="B74" s="381" t="str">
        <f aca="false">CONCATENATE(INT((A74-1)/12)+1,"-й год ",A74-1-INT((A74-1)/12)*12+1,"-й мес")</f>
        <v>6-й год 4-й мес</v>
      </c>
      <c r="C74" s="382" t="n">
        <f aca="false">DATE(YEAR(C73),MONTH(C73)+1,DAY(C73))</f>
        <v>45809</v>
      </c>
      <c r="D74" s="383" t="n">
        <f aca="false">IFERROR(IF(R74*$D$4/100/12/(1-(1+$D$4/100/12)^(-Q74))&lt;G73,ROUNDUP(R74*$D$4/100/12/(1-(1+$D$4/100/12)^(-Q74)),0),G73+F74),0)</f>
        <v>0</v>
      </c>
      <c r="E74" s="384" t="n">
        <f aca="false">D74-F74</f>
        <v>0</v>
      </c>
      <c r="F74" s="384" t="n">
        <f aca="false">G73*$D$4*(C74-C73)/(DATE(YEAR(C74)+1,1,1)-DATE(YEAR(C74),1,1))/100</f>
        <v>0</v>
      </c>
      <c r="G74" s="385" t="n">
        <f aca="false">G73-E74-L74-M74</f>
        <v>0</v>
      </c>
      <c r="H74" s="386" t="n">
        <f aca="false">IFERROR(I74+J74,0)</f>
        <v>0</v>
      </c>
      <c r="I74" s="384" t="n">
        <f aca="false">IFERROR(IF($D$3/$D$5&lt;K73,$D$3/$D$5,K73),0)</f>
        <v>0</v>
      </c>
      <c r="J74" s="384" t="n">
        <f aca="false">K73*$D$4/12/100</f>
        <v>0</v>
      </c>
      <c r="K74" s="387" t="n">
        <f aca="false">K73-I74-L74-M74</f>
        <v>0</v>
      </c>
      <c r="L74" s="388"/>
      <c r="M74" s="402"/>
      <c r="N74" s="409"/>
      <c r="O74" s="409"/>
      <c r="P74" s="391" t="n">
        <f aca="false">IF(ISBLANK(L73),VALUE(P73),ROW(L73))</f>
        <v>10</v>
      </c>
      <c r="Q74" s="314" t="n">
        <f aca="false">Q73+P73-P74</f>
        <v>12</v>
      </c>
      <c r="R74" s="314" t="n">
        <f aca="false">INDEX(G:G,P74,1)</f>
        <v>69000</v>
      </c>
      <c r="S74" s="312"/>
    </row>
    <row r="75" s="379" customFormat="true" ht="14.9" hidden="false" customHeight="false" outlineLevel="0" collapsed="false">
      <c r="A75" s="403" t="n">
        <v>65</v>
      </c>
      <c r="B75" s="381" t="str">
        <f aca="false">CONCATENATE(INT((A75-1)/12)+1,"-й год ",A75-1-INT((A75-1)/12)*12+1,"-й мес")</f>
        <v>6-й год 5-й мес</v>
      </c>
      <c r="C75" s="382" t="n">
        <f aca="false">DATE(YEAR(C74),MONTH(C74)+1,DAY(C74))</f>
        <v>45839</v>
      </c>
      <c r="D75" s="383" t="n">
        <f aca="false">IFERROR(IF(R75*$D$4/100/12/(1-(1+$D$4/100/12)^(-Q75))&lt;G74,ROUNDUP(R75*$D$4/100/12/(1-(1+$D$4/100/12)^(-Q75)),0),G74+F75),0)</f>
        <v>0</v>
      </c>
      <c r="E75" s="384" t="n">
        <f aca="false">D75-F75</f>
        <v>0</v>
      </c>
      <c r="F75" s="384" t="n">
        <f aca="false">G74*$D$4*(C75-C74)/(DATE(YEAR(C75)+1,1,1)-DATE(YEAR(C75),1,1))/100</f>
        <v>0</v>
      </c>
      <c r="G75" s="385" t="n">
        <f aca="false">G74-E75-L75-M75</f>
        <v>0</v>
      </c>
      <c r="H75" s="386" t="n">
        <f aca="false">IFERROR(I75+J75,0)</f>
        <v>0</v>
      </c>
      <c r="I75" s="384" t="n">
        <f aca="false">IFERROR(IF($D$3/$D$5&lt;K74,$D$3/$D$5,K74),0)</f>
        <v>0</v>
      </c>
      <c r="J75" s="384" t="n">
        <f aca="false">K74*$D$4/12/100</f>
        <v>0</v>
      </c>
      <c r="K75" s="387" t="n">
        <f aca="false">K74-I75-L75-M75</f>
        <v>0</v>
      </c>
      <c r="L75" s="388"/>
      <c r="M75" s="402"/>
      <c r="N75" s="409"/>
      <c r="O75" s="409"/>
      <c r="P75" s="391" t="n">
        <f aca="false">IF(ISBLANK(L74),VALUE(P74),ROW(L74))</f>
        <v>10</v>
      </c>
      <c r="Q75" s="314" t="n">
        <f aca="false">Q74+P74-P75</f>
        <v>12</v>
      </c>
      <c r="R75" s="314" t="n">
        <f aca="false">INDEX(G:G,P75,1)</f>
        <v>69000</v>
      </c>
      <c r="S75" s="312"/>
    </row>
    <row r="76" s="379" customFormat="true" ht="14.9" hidden="false" customHeight="false" outlineLevel="0" collapsed="false">
      <c r="A76" s="403" t="n">
        <v>66</v>
      </c>
      <c r="B76" s="381" t="str">
        <f aca="false">CONCATENATE(INT((A76-1)/12)+1,"-й год ",A76-1-INT((A76-1)/12)*12+1,"-й мес")</f>
        <v>6-й год 6-й мес</v>
      </c>
      <c r="C76" s="382" t="n">
        <f aca="false">DATE(YEAR(C75),MONTH(C75)+1,DAY(C75))</f>
        <v>45870</v>
      </c>
      <c r="D76" s="383" t="n">
        <f aca="false">IFERROR(IF(R76*$D$4/100/12/(1-(1+$D$4/100/12)^(-Q76))&lt;G75,ROUNDUP(R76*$D$4/100/12/(1-(1+$D$4/100/12)^(-Q76)),0),G75+F76),0)</f>
        <v>0</v>
      </c>
      <c r="E76" s="384" t="n">
        <f aca="false">D76-F76</f>
        <v>0</v>
      </c>
      <c r="F76" s="384" t="n">
        <f aca="false">G75*$D$4*(C76-C75)/(DATE(YEAR(C76)+1,1,1)-DATE(YEAR(C76),1,1))/100</f>
        <v>0</v>
      </c>
      <c r="G76" s="385" t="n">
        <f aca="false">G75-E76-L76-M76</f>
        <v>0</v>
      </c>
      <c r="H76" s="386" t="n">
        <f aca="false">IFERROR(I76+J76,0)</f>
        <v>0</v>
      </c>
      <c r="I76" s="384" t="n">
        <f aca="false">IFERROR(IF($D$3/$D$5&lt;K75,$D$3/$D$5,K75),0)</f>
        <v>0</v>
      </c>
      <c r="J76" s="384" t="n">
        <f aca="false">K75*$D$4/12/100</f>
        <v>0</v>
      </c>
      <c r="K76" s="387" t="n">
        <f aca="false">K75-I76-L76-M76</f>
        <v>0</v>
      </c>
      <c r="L76" s="388"/>
      <c r="M76" s="402"/>
      <c r="N76" s="409"/>
      <c r="O76" s="409"/>
      <c r="P76" s="391" t="n">
        <f aca="false">IF(ISBLANK(L75),VALUE(P75),ROW(L75))</f>
        <v>10</v>
      </c>
      <c r="Q76" s="314" t="n">
        <f aca="false">Q75+P75-P76</f>
        <v>12</v>
      </c>
      <c r="R76" s="314" t="n">
        <f aca="false">INDEX(G:G,P76,1)</f>
        <v>69000</v>
      </c>
      <c r="S76" s="312"/>
    </row>
    <row r="77" s="379" customFormat="true" ht="14.9" hidden="false" customHeight="false" outlineLevel="0" collapsed="false">
      <c r="A77" s="403" t="n">
        <v>67</v>
      </c>
      <c r="B77" s="381" t="str">
        <f aca="false">CONCATENATE(INT((A77-1)/12)+1,"-й год ",A77-1-INT((A77-1)/12)*12+1,"-й мес")</f>
        <v>6-й год 7-й мес</v>
      </c>
      <c r="C77" s="382" t="n">
        <f aca="false">DATE(YEAR(C76),MONTH(C76)+1,DAY(C76))</f>
        <v>45901</v>
      </c>
      <c r="D77" s="383" t="n">
        <f aca="false">IFERROR(IF(R77*$D$4/100/12/(1-(1+$D$4/100/12)^(-Q77))&lt;G76,ROUNDUP(R77*$D$4/100/12/(1-(1+$D$4/100/12)^(-Q77)),0),G76+F77),0)</f>
        <v>0</v>
      </c>
      <c r="E77" s="384" t="n">
        <f aca="false">D77-F77</f>
        <v>0</v>
      </c>
      <c r="F77" s="384" t="n">
        <f aca="false">G76*$D$4*(C77-C76)/(DATE(YEAR(C77)+1,1,1)-DATE(YEAR(C77),1,1))/100</f>
        <v>0</v>
      </c>
      <c r="G77" s="385" t="n">
        <f aca="false">G76-E77-L77-M77</f>
        <v>0</v>
      </c>
      <c r="H77" s="386" t="n">
        <f aca="false">IFERROR(I77+J77,0)</f>
        <v>0</v>
      </c>
      <c r="I77" s="384" t="n">
        <f aca="false">IFERROR(IF($D$3/$D$5&lt;K76,$D$3/$D$5,K76),0)</f>
        <v>0</v>
      </c>
      <c r="J77" s="384" t="n">
        <f aca="false">K76*$D$4/12/100</f>
        <v>0</v>
      </c>
      <c r="K77" s="387" t="n">
        <f aca="false">K76-I77-L77-M77</f>
        <v>0</v>
      </c>
      <c r="L77" s="388"/>
      <c r="M77" s="402"/>
      <c r="N77" s="409"/>
      <c r="O77" s="409"/>
      <c r="P77" s="391" t="n">
        <f aca="false">IF(ISBLANK(L76),VALUE(P76),ROW(L76))</f>
        <v>10</v>
      </c>
      <c r="Q77" s="314" t="n">
        <f aca="false">Q76+P76-P77</f>
        <v>12</v>
      </c>
      <c r="R77" s="314" t="n">
        <f aca="false">INDEX(G:G,P77,1)</f>
        <v>69000</v>
      </c>
      <c r="S77" s="312"/>
    </row>
    <row r="78" s="379" customFormat="true" ht="14.9" hidden="false" customHeight="false" outlineLevel="0" collapsed="false">
      <c r="A78" s="403" t="n">
        <v>68</v>
      </c>
      <c r="B78" s="381" t="str">
        <f aca="false">CONCATENATE(INT((A78-1)/12)+1,"-й год ",A78-1-INT((A78-1)/12)*12+1,"-й мес")</f>
        <v>6-й год 8-й мес</v>
      </c>
      <c r="C78" s="382" t="n">
        <f aca="false">DATE(YEAR(C77),MONTH(C77)+1,DAY(C77))</f>
        <v>45931</v>
      </c>
      <c r="D78" s="383" t="n">
        <f aca="false">IFERROR(IF(R78*$D$4/100/12/(1-(1+$D$4/100/12)^(-Q78))&lt;G77,ROUNDUP(R78*$D$4/100/12/(1-(1+$D$4/100/12)^(-Q78)),0),G77+F78),0)</f>
        <v>0</v>
      </c>
      <c r="E78" s="384" t="n">
        <f aca="false">D78-F78</f>
        <v>0</v>
      </c>
      <c r="F78" s="384" t="n">
        <f aca="false">G77*$D$4*(C78-C77)/(DATE(YEAR(C78)+1,1,1)-DATE(YEAR(C78),1,1))/100</f>
        <v>0</v>
      </c>
      <c r="G78" s="385" t="n">
        <f aca="false">G77-E78-L78-M78</f>
        <v>0</v>
      </c>
      <c r="H78" s="386" t="n">
        <f aca="false">IFERROR(I78+J78,0)</f>
        <v>0</v>
      </c>
      <c r="I78" s="384" t="n">
        <f aca="false">IFERROR(IF($D$3/$D$5&lt;K77,$D$3/$D$5,K77),0)</f>
        <v>0</v>
      </c>
      <c r="J78" s="384" t="n">
        <f aca="false">K77*$D$4/12/100</f>
        <v>0</v>
      </c>
      <c r="K78" s="387" t="n">
        <f aca="false">K77-I78-L78-M78</f>
        <v>0</v>
      </c>
      <c r="L78" s="388"/>
      <c r="M78" s="402"/>
      <c r="N78" s="409"/>
      <c r="O78" s="409"/>
      <c r="P78" s="391" t="n">
        <f aca="false">IF(ISBLANK(L77),VALUE(P77),ROW(L77))</f>
        <v>10</v>
      </c>
      <c r="Q78" s="314" t="n">
        <f aca="false">Q77+P77-P78</f>
        <v>12</v>
      </c>
      <c r="R78" s="314" t="n">
        <f aca="false">INDEX(G:G,P78,1)</f>
        <v>69000</v>
      </c>
      <c r="S78" s="312"/>
    </row>
    <row r="79" s="379" customFormat="true" ht="14.9" hidden="false" customHeight="false" outlineLevel="0" collapsed="false">
      <c r="A79" s="403" t="n">
        <v>69</v>
      </c>
      <c r="B79" s="381" t="str">
        <f aca="false">CONCATENATE(INT((A79-1)/12)+1,"-й год ",A79-1-INT((A79-1)/12)*12+1,"-й мес")</f>
        <v>6-й год 9-й мес</v>
      </c>
      <c r="C79" s="382" t="n">
        <f aca="false">DATE(YEAR(C78),MONTH(C78)+1,DAY(C78))</f>
        <v>45962</v>
      </c>
      <c r="D79" s="383" t="n">
        <f aca="false">IFERROR(IF(R79*$D$4/100/12/(1-(1+$D$4/100/12)^(-Q79))&lt;G78,ROUNDUP(R79*$D$4/100/12/(1-(1+$D$4/100/12)^(-Q79)),0),G78+F79),0)</f>
        <v>0</v>
      </c>
      <c r="E79" s="384" t="n">
        <f aca="false">D79-F79</f>
        <v>0</v>
      </c>
      <c r="F79" s="384" t="n">
        <f aca="false">G78*$D$4*(C79-C78)/(DATE(YEAR(C79)+1,1,1)-DATE(YEAR(C79),1,1))/100</f>
        <v>0</v>
      </c>
      <c r="G79" s="385" t="n">
        <f aca="false">G78-E79-L79-M79</f>
        <v>0</v>
      </c>
      <c r="H79" s="386" t="n">
        <f aca="false">IFERROR(I79+J79,0)</f>
        <v>0</v>
      </c>
      <c r="I79" s="384" t="n">
        <f aca="false">IFERROR(IF($D$3/$D$5&lt;K78,$D$3/$D$5,K78),0)</f>
        <v>0</v>
      </c>
      <c r="J79" s="384" t="n">
        <f aca="false">K78*$D$4/12/100</f>
        <v>0</v>
      </c>
      <c r="K79" s="387" t="n">
        <f aca="false">K78-I79-L79-M79</f>
        <v>0</v>
      </c>
      <c r="L79" s="388"/>
      <c r="M79" s="402"/>
      <c r="N79" s="409"/>
      <c r="O79" s="409"/>
      <c r="P79" s="391" t="n">
        <f aca="false">IF(ISBLANK(L78),VALUE(P78),ROW(L78))</f>
        <v>10</v>
      </c>
      <c r="Q79" s="314" t="n">
        <f aca="false">Q78+P78-P79</f>
        <v>12</v>
      </c>
      <c r="R79" s="314" t="n">
        <f aca="false">INDEX(G:G,P79,1)</f>
        <v>69000</v>
      </c>
      <c r="S79" s="312"/>
    </row>
    <row r="80" s="379" customFormat="true" ht="14.9" hidden="false" customHeight="false" outlineLevel="0" collapsed="false">
      <c r="A80" s="403" t="n">
        <v>70</v>
      </c>
      <c r="B80" s="381" t="str">
        <f aca="false">CONCATENATE(INT((A80-1)/12)+1,"-й год ",A80-1-INT((A80-1)/12)*12+1,"-й мес")</f>
        <v>6-й год 10-й мес</v>
      </c>
      <c r="C80" s="382" t="n">
        <f aca="false">DATE(YEAR(C79),MONTH(C79)+1,DAY(C79))</f>
        <v>45992</v>
      </c>
      <c r="D80" s="383" t="n">
        <f aca="false">IFERROR(IF(R80*$D$4/100/12/(1-(1+$D$4/100/12)^(-Q80))&lt;G79,ROUNDUP(R80*$D$4/100/12/(1-(1+$D$4/100/12)^(-Q80)),0),G79+F80),0)</f>
        <v>0</v>
      </c>
      <c r="E80" s="384" t="n">
        <f aca="false">D80-F80</f>
        <v>0</v>
      </c>
      <c r="F80" s="384" t="n">
        <f aca="false">G79*$D$4*(C80-C79)/(DATE(YEAR(C80)+1,1,1)-DATE(YEAR(C80),1,1))/100</f>
        <v>0</v>
      </c>
      <c r="G80" s="385" t="n">
        <f aca="false">G79-E80-L80-M80</f>
        <v>0</v>
      </c>
      <c r="H80" s="386" t="n">
        <f aca="false">IFERROR(I80+J80,0)</f>
        <v>0</v>
      </c>
      <c r="I80" s="384" t="n">
        <f aca="false">IFERROR(IF($D$3/$D$5&lt;K79,$D$3/$D$5,K79),0)</f>
        <v>0</v>
      </c>
      <c r="J80" s="384" t="n">
        <f aca="false">K79*$D$4/12/100</f>
        <v>0</v>
      </c>
      <c r="K80" s="387" t="n">
        <f aca="false">K79-I80-L80-M80</f>
        <v>0</v>
      </c>
      <c r="L80" s="388"/>
      <c r="M80" s="402"/>
      <c r="N80" s="409"/>
      <c r="O80" s="409"/>
      <c r="P80" s="391" t="n">
        <f aca="false">IF(ISBLANK(L79),VALUE(P79),ROW(L79))</f>
        <v>10</v>
      </c>
      <c r="Q80" s="314" t="n">
        <f aca="false">Q79+P79-P80</f>
        <v>12</v>
      </c>
      <c r="R80" s="314" t="n">
        <f aca="false">INDEX(G:G,P80,1)</f>
        <v>69000</v>
      </c>
      <c r="S80" s="312"/>
    </row>
    <row r="81" s="379" customFormat="true" ht="14.9" hidden="false" customHeight="false" outlineLevel="0" collapsed="false">
      <c r="A81" s="403" t="n">
        <v>71</v>
      </c>
      <c r="B81" s="381" t="str">
        <f aca="false">CONCATENATE(INT((A81-1)/12)+1,"-й год ",A81-1-INT((A81-1)/12)*12+1,"-й мес")</f>
        <v>6-й год 11-й мес</v>
      </c>
      <c r="C81" s="382" t="n">
        <f aca="false">DATE(YEAR(C80),MONTH(C80)+1,DAY(C80))</f>
        <v>46023</v>
      </c>
      <c r="D81" s="383" t="n">
        <f aca="false">IFERROR(IF(R81*$D$4/100/12/(1-(1+$D$4/100/12)^(-Q81))&lt;G80,ROUNDUP(R81*$D$4/100/12/(1-(1+$D$4/100/12)^(-Q81)),0),G80+F81),0)</f>
        <v>0</v>
      </c>
      <c r="E81" s="384" t="n">
        <f aca="false">D81-F81</f>
        <v>0</v>
      </c>
      <c r="F81" s="384" t="n">
        <f aca="false">G80*$D$4*(C81-C80)/(DATE(YEAR(C81)+1,1,1)-DATE(YEAR(C81),1,1))/100</f>
        <v>0</v>
      </c>
      <c r="G81" s="385" t="n">
        <f aca="false">G80-E81-L81-M81</f>
        <v>0</v>
      </c>
      <c r="H81" s="386" t="n">
        <f aca="false">IFERROR(I81+J81,0)</f>
        <v>0</v>
      </c>
      <c r="I81" s="384" t="n">
        <f aca="false">IFERROR(IF($D$3/$D$5&lt;K80,$D$3/$D$5,K80),0)</f>
        <v>0</v>
      </c>
      <c r="J81" s="384" t="n">
        <f aca="false">K80*$D$4/12/100</f>
        <v>0</v>
      </c>
      <c r="K81" s="387" t="n">
        <f aca="false">K80-I81-L81-M81</f>
        <v>0</v>
      </c>
      <c r="L81" s="388"/>
      <c r="M81" s="402"/>
      <c r="N81" s="409"/>
      <c r="O81" s="409"/>
      <c r="P81" s="391" t="n">
        <f aca="false">IF(ISBLANK(L80),VALUE(P80),ROW(L80))</f>
        <v>10</v>
      </c>
      <c r="Q81" s="314" t="n">
        <f aca="false">Q80+P80-P81</f>
        <v>12</v>
      </c>
      <c r="R81" s="314" t="n">
        <f aca="false">INDEX(G:G,P81,1)</f>
        <v>69000</v>
      </c>
      <c r="S81" s="312"/>
    </row>
    <row r="82" s="379" customFormat="true" ht="14.9" hidden="false" customHeight="false" outlineLevel="0" collapsed="false">
      <c r="A82" s="404" t="n">
        <v>72</v>
      </c>
      <c r="B82" s="392" t="str">
        <f aca="false">CONCATENATE(INT((A82-1)/12)+1,"-й год ",A82-1-INT((A82-1)/12)*12+1,"-й мес")</f>
        <v>6-й год 12-й мес</v>
      </c>
      <c r="C82" s="393" t="n">
        <f aca="false">DATE(YEAR(C81),MONTH(C81)+1,DAY(C81))</f>
        <v>46054</v>
      </c>
      <c r="D82" s="394" t="n">
        <f aca="false">IFERROR(IF(R82*$D$4/100/12/(1-(1+$D$4/100/12)^(-Q82))&lt;G81,ROUNDUP(R82*$D$4/100/12/(1-(1+$D$4/100/12)^(-Q82)),0),G81+F82),0)</f>
        <v>0</v>
      </c>
      <c r="E82" s="395" t="n">
        <f aca="false">D82-F82</f>
        <v>0</v>
      </c>
      <c r="F82" s="395" t="n">
        <f aca="false">G81*$D$4*(C82-C81)/(DATE(YEAR(C82)+1,1,1)-DATE(YEAR(C82),1,1))/100</f>
        <v>0</v>
      </c>
      <c r="G82" s="405" t="n">
        <f aca="false">G81-E82-L82-M82</f>
        <v>0</v>
      </c>
      <c r="H82" s="406" t="n">
        <f aca="false">IFERROR(I82+J82,0)</f>
        <v>0</v>
      </c>
      <c r="I82" s="395" t="n">
        <f aca="false">IFERROR(IF($D$3/$D$5&lt;K81,$D$3/$D$5,K81),0)</f>
        <v>0</v>
      </c>
      <c r="J82" s="395" t="n">
        <f aca="false">K81*$D$4/12/100</f>
        <v>0</v>
      </c>
      <c r="K82" s="407" t="n">
        <f aca="false">K81-I82-L82-M82</f>
        <v>0</v>
      </c>
      <c r="L82" s="408"/>
      <c r="M82" s="402"/>
      <c r="N82" s="409"/>
      <c r="O82" s="409"/>
      <c r="P82" s="391" t="n">
        <f aca="false">IF(ISBLANK(L81),VALUE(P81),ROW(L81))</f>
        <v>10</v>
      </c>
      <c r="Q82" s="314" t="n">
        <f aca="false">Q81+P81-P82</f>
        <v>12</v>
      </c>
      <c r="R82" s="314" t="n">
        <f aca="false">INDEX(G:G,P82,1)</f>
        <v>69000</v>
      </c>
      <c r="S82" s="312"/>
    </row>
    <row r="83" s="379" customFormat="true" ht="14.9" hidden="false" customHeight="false" outlineLevel="0" collapsed="false">
      <c r="A83" s="380" t="n">
        <v>73</v>
      </c>
      <c r="B83" s="381" t="str">
        <f aca="false">CONCATENATE(INT((A83-1)/12)+1,"-й год ",A83-1-INT((A83-1)/12)*12+1,"-й мес")</f>
        <v>7-й год 1-й мес</v>
      </c>
      <c r="C83" s="382" t="n">
        <f aca="false">DATE(YEAR(C82),MONTH(C82)+1,DAY(C82))</f>
        <v>46082</v>
      </c>
      <c r="D83" s="383" t="n">
        <f aca="false">IFERROR(IF(R83*$D$4/100/12/(1-(1+$D$4/100/12)^(-Q83))&lt;G82,ROUNDUP(R83*$D$4/100/12/(1-(1+$D$4/100/12)^(-Q83)),0),G82+F83),0)</f>
        <v>0</v>
      </c>
      <c r="E83" s="384" t="n">
        <f aca="false">D83-F83</f>
        <v>0</v>
      </c>
      <c r="F83" s="384" t="n">
        <f aca="false">G82*$D$4*(C83-C82)/(DATE(YEAR(C83)+1,1,1)-DATE(YEAR(C83),1,1))/100</f>
        <v>0</v>
      </c>
      <c r="G83" s="385" t="n">
        <f aca="false">G82-E83-L83-M83</f>
        <v>0</v>
      </c>
      <c r="H83" s="386" t="n">
        <f aca="false">IFERROR(I83+J83,0)</f>
        <v>0</v>
      </c>
      <c r="I83" s="384" t="n">
        <f aca="false">IFERROR(IF($D$3/$D$5&lt;K82,$D$3/$D$5,K82),0)</f>
        <v>0</v>
      </c>
      <c r="J83" s="384" t="n">
        <f aca="false">K82*$D$4/12/100</f>
        <v>0</v>
      </c>
      <c r="K83" s="387" t="n">
        <f aca="false">K82-I83-L83-M83</f>
        <v>0</v>
      </c>
      <c r="L83" s="388"/>
      <c r="M83" s="402"/>
      <c r="N83" s="409"/>
      <c r="O83" s="409"/>
      <c r="P83" s="391" t="n">
        <f aca="false">IF(ISBLANK(L82),VALUE(P82),ROW(L82))</f>
        <v>10</v>
      </c>
      <c r="Q83" s="314" t="n">
        <f aca="false">Q82+P82-P83</f>
        <v>12</v>
      </c>
      <c r="R83" s="314" t="n">
        <f aca="false">INDEX(G:G,P83,1)</f>
        <v>69000</v>
      </c>
      <c r="S83" s="312"/>
    </row>
    <row r="84" s="379" customFormat="true" ht="14.9" hidden="false" customHeight="false" outlineLevel="0" collapsed="false">
      <c r="A84" s="380" t="n">
        <v>74</v>
      </c>
      <c r="B84" s="381" t="str">
        <f aca="false">CONCATENATE(INT((A84-1)/12)+1,"-й год ",A84-1-INT((A84-1)/12)*12+1,"-й мес")</f>
        <v>7-й год 2-й мес</v>
      </c>
      <c r="C84" s="382" t="n">
        <f aca="false">DATE(YEAR(C83),MONTH(C83)+1,DAY(C83))</f>
        <v>46113</v>
      </c>
      <c r="D84" s="383" t="n">
        <f aca="false">IFERROR(IF(R84*$D$4/100/12/(1-(1+$D$4/100/12)^(-Q84))&lt;G83,ROUNDUP(R84*$D$4/100/12/(1-(1+$D$4/100/12)^(-Q84)),0),G83+F84),0)</f>
        <v>0</v>
      </c>
      <c r="E84" s="384" t="n">
        <f aca="false">D84-F84</f>
        <v>0</v>
      </c>
      <c r="F84" s="384" t="n">
        <f aca="false">G83*$D$4*(C84-C83)/(DATE(YEAR(C84)+1,1,1)-DATE(YEAR(C84),1,1))/100</f>
        <v>0</v>
      </c>
      <c r="G84" s="385" t="n">
        <f aca="false">G83-E84-L84-M84</f>
        <v>0</v>
      </c>
      <c r="H84" s="386" t="n">
        <f aca="false">IFERROR(I84+J84,0)</f>
        <v>0</v>
      </c>
      <c r="I84" s="384" t="n">
        <f aca="false">IFERROR(IF($D$3/$D$5&lt;K83,$D$3/$D$5,K83),0)</f>
        <v>0</v>
      </c>
      <c r="J84" s="384" t="n">
        <f aca="false">K83*$D$4/12/100</f>
        <v>0</v>
      </c>
      <c r="K84" s="387" t="n">
        <f aca="false">K83-I84-L84-M84</f>
        <v>0</v>
      </c>
      <c r="L84" s="388"/>
      <c r="M84" s="402"/>
      <c r="N84" s="409"/>
      <c r="O84" s="409"/>
      <c r="P84" s="391" t="n">
        <f aca="false">IF(ISBLANK(L83),VALUE(P83),ROW(L83))</f>
        <v>10</v>
      </c>
      <c r="Q84" s="314" t="n">
        <f aca="false">Q83+P83-P84</f>
        <v>12</v>
      </c>
      <c r="R84" s="314" t="n">
        <f aca="false">INDEX(G:G,P84,1)</f>
        <v>69000</v>
      </c>
      <c r="S84" s="312"/>
    </row>
    <row r="85" s="379" customFormat="true" ht="14.9" hidden="false" customHeight="false" outlineLevel="0" collapsed="false">
      <c r="A85" s="380" t="n">
        <v>75</v>
      </c>
      <c r="B85" s="381" t="str">
        <f aca="false">CONCATENATE(INT((A85-1)/12)+1,"-й год ",A85-1-INT((A85-1)/12)*12+1,"-й мес")</f>
        <v>7-й год 3-й мес</v>
      </c>
      <c r="C85" s="382" t="n">
        <f aca="false">DATE(YEAR(C84),MONTH(C84)+1,DAY(C84))</f>
        <v>46143</v>
      </c>
      <c r="D85" s="383" t="n">
        <f aca="false">IFERROR(IF(R85*$D$4/100/12/(1-(1+$D$4/100/12)^(-Q85))&lt;G84,ROUNDUP(R85*$D$4/100/12/(1-(1+$D$4/100/12)^(-Q85)),0),G84+F85),0)</f>
        <v>0</v>
      </c>
      <c r="E85" s="384" t="n">
        <f aca="false">D85-F85</f>
        <v>0</v>
      </c>
      <c r="F85" s="384" t="n">
        <f aca="false">G84*$D$4*(C85-C84)/(DATE(YEAR(C85)+1,1,1)-DATE(YEAR(C85),1,1))/100</f>
        <v>0</v>
      </c>
      <c r="G85" s="385" t="n">
        <f aca="false">G84-E85-L85-M85</f>
        <v>0</v>
      </c>
      <c r="H85" s="386" t="n">
        <f aca="false">IFERROR(I85+J85,0)</f>
        <v>0</v>
      </c>
      <c r="I85" s="384" t="n">
        <f aca="false">IFERROR(IF($D$3/$D$5&lt;K84,$D$3/$D$5,K84),0)</f>
        <v>0</v>
      </c>
      <c r="J85" s="384" t="n">
        <f aca="false">K84*$D$4/12/100</f>
        <v>0</v>
      </c>
      <c r="K85" s="387" t="n">
        <f aca="false">K84-I85-L85-M85</f>
        <v>0</v>
      </c>
      <c r="L85" s="388"/>
      <c r="M85" s="402"/>
      <c r="N85" s="409"/>
      <c r="O85" s="409"/>
      <c r="P85" s="391" t="n">
        <f aca="false">IF(ISBLANK(L84),VALUE(P84),ROW(L84))</f>
        <v>10</v>
      </c>
      <c r="Q85" s="314" t="n">
        <f aca="false">Q84+P84-P85</f>
        <v>12</v>
      </c>
      <c r="R85" s="314" t="n">
        <f aca="false">INDEX(G:G,P85,1)</f>
        <v>69000</v>
      </c>
      <c r="S85" s="312"/>
    </row>
    <row r="86" s="379" customFormat="true" ht="14.9" hidden="false" customHeight="false" outlineLevel="0" collapsed="false">
      <c r="A86" s="380" t="n">
        <v>76</v>
      </c>
      <c r="B86" s="381" t="str">
        <f aca="false">CONCATENATE(INT((A86-1)/12)+1,"-й год ",A86-1-INT((A86-1)/12)*12+1,"-й мес")</f>
        <v>7-й год 4-й мес</v>
      </c>
      <c r="C86" s="382" t="n">
        <f aca="false">DATE(YEAR(C85),MONTH(C85)+1,DAY(C85))</f>
        <v>46174</v>
      </c>
      <c r="D86" s="383" t="n">
        <f aca="false">IFERROR(IF(R86*$D$4/100/12/(1-(1+$D$4/100/12)^(-Q86))&lt;G85,ROUNDUP(R86*$D$4/100/12/(1-(1+$D$4/100/12)^(-Q86)),0),G85+F86),0)</f>
        <v>0</v>
      </c>
      <c r="E86" s="384" t="n">
        <f aca="false">D86-F86</f>
        <v>0</v>
      </c>
      <c r="F86" s="384" t="n">
        <f aca="false">G85*$D$4*(C86-C85)/(DATE(YEAR(C86)+1,1,1)-DATE(YEAR(C86),1,1))/100</f>
        <v>0</v>
      </c>
      <c r="G86" s="385" t="n">
        <f aca="false">G85-E86-L86-M86</f>
        <v>0</v>
      </c>
      <c r="H86" s="386" t="n">
        <f aca="false">IFERROR(I86+J86,0)</f>
        <v>0</v>
      </c>
      <c r="I86" s="384" t="n">
        <f aca="false">IFERROR(IF($D$3/$D$5&lt;K85,$D$3/$D$5,K85),0)</f>
        <v>0</v>
      </c>
      <c r="J86" s="384" t="n">
        <f aca="false">K85*$D$4/12/100</f>
        <v>0</v>
      </c>
      <c r="K86" s="387" t="n">
        <f aca="false">K85-I86-L86-M86</f>
        <v>0</v>
      </c>
      <c r="L86" s="388"/>
      <c r="M86" s="402"/>
      <c r="N86" s="409"/>
      <c r="O86" s="409"/>
      <c r="P86" s="391" t="n">
        <f aca="false">IF(ISBLANK(L85),VALUE(P85),ROW(L85))</f>
        <v>10</v>
      </c>
      <c r="Q86" s="314" t="n">
        <f aca="false">Q85+P85-P86</f>
        <v>12</v>
      </c>
      <c r="R86" s="314" t="n">
        <f aca="false">INDEX(G:G,P86,1)</f>
        <v>69000</v>
      </c>
      <c r="S86" s="312"/>
    </row>
    <row r="87" s="379" customFormat="true" ht="14.9" hidden="false" customHeight="false" outlineLevel="0" collapsed="false">
      <c r="A87" s="380" t="n">
        <v>77</v>
      </c>
      <c r="B87" s="381" t="str">
        <f aca="false">CONCATENATE(INT((A87-1)/12)+1,"-й год ",A87-1-INT((A87-1)/12)*12+1,"-й мес")</f>
        <v>7-й год 5-й мес</v>
      </c>
      <c r="C87" s="382" t="n">
        <f aca="false">DATE(YEAR(C86),MONTH(C86)+1,DAY(C86))</f>
        <v>46204</v>
      </c>
      <c r="D87" s="383" t="n">
        <f aca="false">IFERROR(IF(R87*$D$4/100/12/(1-(1+$D$4/100/12)^(-Q87))&lt;G86,ROUNDUP(R87*$D$4/100/12/(1-(1+$D$4/100/12)^(-Q87)),0),G86+F87),0)</f>
        <v>0</v>
      </c>
      <c r="E87" s="384" t="n">
        <f aca="false">D87-F87</f>
        <v>0</v>
      </c>
      <c r="F87" s="384" t="n">
        <f aca="false">G86*$D$4*(C87-C86)/(DATE(YEAR(C87)+1,1,1)-DATE(YEAR(C87),1,1))/100</f>
        <v>0</v>
      </c>
      <c r="G87" s="385" t="n">
        <f aca="false">G86-E87-L87-M87</f>
        <v>0</v>
      </c>
      <c r="H87" s="386" t="n">
        <f aca="false">IFERROR(I87+J87,0)</f>
        <v>0</v>
      </c>
      <c r="I87" s="384" t="n">
        <f aca="false">IFERROR(IF($D$3/$D$5&lt;K86,$D$3/$D$5,K86),0)</f>
        <v>0</v>
      </c>
      <c r="J87" s="384" t="n">
        <f aca="false">K86*$D$4/12/100</f>
        <v>0</v>
      </c>
      <c r="K87" s="387" t="n">
        <f aca="false">K86-I87-L87-M87</f>
        <v>0</v>
      </c>
      <c r="L87" s="388"/>
      <c r="M87" s="402"/>
      <c r="N87" s="409"/>
      <c r="O87" s="409"/>
      <c r="P87" s="391" t="n">
        <f aca="false">IF(ISBLANK(L86),VALUE(P86),ROW(L86))</f>
        <v>10</v>
      </c>
      <c r="Q87" s="314" t="n">
        <f aca="false">Q86+P86-P87</f>
        <v>12</v>
      </c>
      <c r="R87" s="314" t="n">
        <f aca="false">INDEX(G:G,P87,1)</f>
        <v>69000</v>
      </c>
      <c r="S87" s="312"/>
    </row>
    <row r="88" s="379" customFormat="true" ht="14.9" hidden="false" customHeight="false" outlineLevel="0" collapsed="false">
      <c r="A88" s="380" t="n">
        <v>78</v>
      </c>
      <c r="B88" s="381" t="str">
        <f aca="false">CONCATENATE(INT((A88-1)/12)+1,"-й год ",A88-1-INT((A88-1)/12)*12+1,"-й мес")</f>
        <v>7-й год 6-й мес</v>
      </c>
      <c r="C88" s="382" t="n">
        <f aca="false">DATE(YEAR(C87),MONTH(C87)+1,DAY(C87))</f>
        <v>46235</v>
      </c>
      <c r="D88" s="383" t="n">
        <f aca="false">IFERROR(IF(R88*$D$4/100/12/(1-(1+$D$4/100/12)^(-Q88))&lt;G87,ROUNDUP(R88*$D$4/100/12/(1-(1+$D$4/100/12)^(-Q88)),0),G87+F88),0)</f>
        <v>0</v>
      </c>
      <c r="E88" s="384" t="n">
        <f aca="false">D88-F88</f>
        <v>0</v>
      </c>
      <c r="F88" s="384" t="n">
        <f aca="false">G87*$D$4*(C88-C87)/(DATE(YEAR(C88)+1,1,1)-DATE(YEAR(C88),1,1))/100</f>
        <v>0</v>
      </c>
      <c r="G88" s="385" t="n">
        <f aca="false">G87-E88-L88-M88</f>
        <v>0</v>
      </c>
      <c r="H88" s="386" t="n">
        <f aca="false">IFERROR(I88+J88,0)</f>
        <v>0</v>
      </c>
      <c r="I88" s="384" t="n">
        <f aca="false">IFERROR(IF($D$3/$D$5&lt;K87,$D$3/$D$5,K87),0)</f>
        <v>0</v>
      </c>
      <c r="J88" s="384" t="n">
        <f aca="false">K87*$D$4/12/100</f>
        <v>0</v>
      </c>
      <c r="K88" s="387" t="n">
        <f aca="false">K87-I88-L88-M88</f>
        <v>0</v>
      </c>
      <c r="L88" s="388"/>
      <c r="M88" s="402"/>
      <c r="N88" s="409"/>
      <c r="O88" s="409"/>
      <c r="P88" s="391" t="n">
        <f aca="false">IF(ISBLANK(L87),VALUE(P87),ROW(L87))</f>
        <v>10</v>
      </c>
      <c r="Q88" s="314" t="n">
        <f aca="false">Q87+P87-P88</f>
        <v>12</v>
      </c>
      <c r="R88" s="314" t="n">
        <f aca="false">INDEX(G:G,P88,1)</f>
        <v>69000</v>
      </c>
      <c r="S88" s="312"/>
    </row>
    <row r="89" s="379" customFormat="true" ht="14.9" hidden="false" customHeight="false" outlineLevel="0" collapsed="false">
      <c r="A89" s="380" t="n">
        <v>79</v>
      </c>
      <c r="B89" s="381" t="str">
        <f aca="false">CONCATENATE(INT((A89-1)/12)+1,"-й год ",A89-1-INT((A89-1)/12)*12+1,"-й мес")</f>
        <v>7-й год 7-й мес</v>
      </c>
      <c r="C89" s="382" t="n">
        <f aca="false">DATE(YEAR(C88),MONTH(C88)+1,DAY(C88))</f>
        <v>46266</v>
      </c>
      <c r="D89" s="383" t="n">
        <f aca="false">IFERROR(IF(R89*$D$4/100/12/(1-(1+$D$4/100/12)^(-Q89))&lt;G88,ROUNDUP(R89*$D$4/100/12/(1-(1+$D$4/100/12)^(-Q89)),0),G88+F89),0)</f>
        <v>0</v>
      </c>
      <c r="E89" s="384" t="n">
        <f aca="false">D89-F89</f>
        <v>0</v>
      </c>
      <c r="F89" s="384" t="n">
        <f aca="false">G88*$D$4*(C89-C88)/(DATE(YEAR(C89)+1,1,1)-DATE(YEAR(C89),1,1))/100</f>
        <v>0</v>
      </c>
      <c r="G89" s="385" t="n">
        <f aca="false">G88-E89-L89-M89</f>
        <v>0</v>
      </c>
      <c r="H89" s="386" t="n">
        <f aca="false">IFERROR(I89+J89,0)</f>
        <v>0</v>
      </c>
      <c r="I89" s="384" t="n">
        <f aca="false">IFERROR(IF($D$3/$D$5&lt;K88,$D$3/$D$5,K88),0)</f>
        <v>0</v>
      </c>
      <c r="J89" s="384" t="n">
        <f aca="false">K88*$D$4/12/100</f>
        <v>0</v>
      </c>
      <c r="K89" s="387" t="n">
        <f aca="false">K88-I89-L89-M89</f>
        <v>0</v>
      </c>
      <c r="L89" s="388"/>
      <c r="M89" s="402"/>
      <c r="N89" s="409"/>
      <c r="O89" s="409"/>
      <c r="P89" s="391" t="n">
        <f aca="false">IF(ISBLANK(L88),VALUE(P88),ROW(L88))</f>
        <v>10</v>
      </c>
      <c r="Q89" s="314" t="n">
        <f aca="false">Q88+P88-P89</f>
        <v>12</v>
      </c>
      <c r="R89" s="314" t="n">
        <f aca="false">INDEX(G:G,P89,1)</f>
        <v>69000</v>
      </c>
      <c r="S89" s="312"/>
    </row>
    <row r="90" s="379" customFormat="true" ht="14.9" hidden="false" customHeight="false" outlineLevel="0" collapsed="false">
      <c r="A90" s="380" t="n">
        <v>80</v>
      </c>
      <c r="B90" s="381" t="str">
        <f aca="false">CONCATENATE(INT((A90-1)/12)+1,"-й год ",A90-1-INT((A90-1)/12)*12+1,"-й мес")</f>
        <v>7-й год 8-й мес</v>
      </c>
      <c r="C90" s="382" t="n">
        <f aca="false">DATE(YEAR(C89),MONTH(C89)+1,DAY(C89))</f>
        <v>46296</v>
      </c>
      <c r="D90" s="383" t="n">
        <f aca="false">IFERROR(IF(R90*$D$4/100/12/(1-(1+$D$4/100/12)^(-Q90))&lt;G89,ROUNDUP(R90*$D$4/100/12/(1-(1+$D$4/100/12)^(-Q90)),0),G89+F90),0)</f>
        <v>0</v>
      </c>
      <c r="E90" s="384" t="n">
        <f aca="false">D90-F90</f>
        <v>0</v>
      </c>
      <c r="F90" s="384" t="n">
        <f aca="false">G89*$D$4*(C90-C89)/(DATE(YEAR(C90)+1,1,1)-DATE(YEAR(C90),1,1))/100</f>
        <v>0</v>
      </c>
      <c r="G90" s="385" t="n">
        <f aca="false">G89-E90-L90-M90</f>
        <v>0</v>
      </c>
      <c r="H90" s="386" t="n">
        <f aca="false">IFERROR(I90+J90,0)</f>
        <v>0</v>
      </c>
      <c r="I90" s="384" t="n">
        <f aca="false">IFERROR(IF($D$3/$D$5&lt;K89,$D$3/$D$5,K89),0)</f>
        <v>0</v>
      </c>
      <c r="J90" s="384" t="n">
        <f aca="false">K89*$D$4/12/100</f>
        <v>0</v>
      </c>
      <c r="K90" s="387" t="n">
        <f aca="false">K89-I90-L90-M90</f>
        <v>0</v>
      </c>
      <c r="L90" s="388"/>
      <c r="M90" s="402"/>
      <c r="N90" s="409"/>
      <c r="O90" s="409"/>
      <c r="P90" s="391" t="n">
        <f aca="false">IF(ISBLANK(L89),VALUE(P89),ROW(L89))</f>
        <v>10</v>
      </c>
      <c r="Q90" s="314" t="n">
        <f aca="false">Q89+P89-P90</f>
        <v>12</v>
      </c>
      <c r="R90" s="314" t="n">
        <f aca="false">INDEX(G:G,P90,1)</f>
        <v>69000</v>
      </c>
      <c r="S90" s="312"/>
    </row>
    <row r="91" s="379" customFormat="true" ht="14.9" hidden="false" customHeight="false" outlineLevel="0" collapsed="false">
      <c r="A91" s="380" t="n">
        <v>81</v>
      </c>
      <c r="B91" s="381" t="str">
        <f aca="false">CONCATENATE(INT((A91-1)/12)+1,"-й год ",A91-1-INT((A91-1)/12)*12+1,"-й мес")</f>
        <v>7-й год 9-й мес</v>
      </c>
      <c r="C91" s="382" t="n">
        <f aca="false">DATE(YEAR(C90),MONTH(C90)+1,DAY(C90))</f>
        <v>46327</v>
      </c>
      <c r="D91" s="383" t="n">
        <f aca="false">IFERROR(IF(R91*$D$4/100/12/(1-(1+$D$4/100/12)^(-Q91))&lt;G90,ROUNDUP(R91*$D$4/100/12/(1-(1+$D$4/100/12)^(-Q91)),0),G90+F91),0)</f>
        <v>0</v>
      </c>
      <c r="E91" s="384" t="n">
        <f aca="false">D91-F91</f>
        <v>0</v>
      </c>
      <c r="F91" s="384" t="n">
        <f aca="false">G90*$D$4*(C91-C90)/(DATE(YEAR(C91)+1,1,1)-DATE(YEAR(C91),1,1))/100</f>
        <v>0</v>
      </c>
      <c r="G91" s="385" t="n">
        <f aca="false">G90-E91-L91-M91</f>
        <v>0</v>
      </c>
      <c r="H91" s="386" t="n">
        <f aca="false">IFERROR(I91+J91,0)</f>
        <v>0</v>
      </c>
      <c r="I91" s="384" t="n">
        <f aca="false">IFERROR(IF($D$3/$D$5&lt;K90,$D$3/$D$5,K90),0)</f>
        <v>0</v>
      </c>
      <c r="J91" s="384" t="n">
        <f aca="false">K90*$D$4/12/100</f>
        <v>0</v>
      </c>
      <c r="K91" s="387" t="n">
        <f aca="false">K90-I91-L91-M91</f>
        <v>0</v>
      </c>
      <c r="L91" s="388"/>
      <c r="M91" s="402"/>
      <c r="N91" s="409"/>
      <c r="O91" s="409"/>
      <c r="P91" s="391" t="n">
        <f aca="false">IF(ISBLANK(L90),VALUE(P90),ROW(L90))</f>
        <v>10</v>
      </c>
      <c r="Q91" s="314" t="n">
        <f aca="false">Q90+P90-P91</f>
        <v>12</v>
      </c>
      <c r="R91" s="314" t="n">
        <f aca="false">INDEX(G:G,P91,1)</f>
        <v>69000</v>
      </c>
      <c r="S91" s="312"/>
    </row>
    <row r="92" s="379" customFormat="true" ht="14.9" hidden="false" customHeight="false" outlineLevel="0" collapsed="false">
      <c r="A92" s="380" t="n">
        <v>82</v>
      </c>
      <c r="B92" s="381" t="str">
        <f aca="false">CONCATENATE(INT((A92-1)/12)+1,"-й год ",A92-1-INT((A92-1)/12)*12+1,"-й мес")</f>
        <v>7-й год 10-й мес</v>
      </c>
      <c r="C92" s="382" t="n">
        <f aca="false">DATE(YEAR(C91),MONTH(C91)+1,DAY(C91))</f>
        <v>46357</v>
      </c>
      <c r="D92" s="383" t="n">
        <f aca="false">IFERROR(IF(R92*$D$4/100/12/(1-(1+$D$4/100/12)^(-Q92))&lt;G91,ROUNDUP(R92*$D$4/100/12/(1-(1+$D$4/100/12)^(-Q92)),0),G91+F92),0)</f>
        <v>0</v>
      </c>
      <c r="E92" s="384" t="n">
        <f aca="false">D92-F92</f>
        <v>0</v>
      </c>
      <c r="F92" s="384" t="n">
        <f aca="false">G91*$D$4*(C92-C91)/(DATE(YEAR(C92)+1,1,1)-DATE(YEAR(C92),1,1))/100</f>
        <v>0</v>
      </c>
      <c r="G92" s="385" t="n">
        <f aca="false">G91-E92-L92-M92</f>
        <v>0</v>
      </c>
      <c r="H92" s="386" t="n">
        <f aca="false">IFERROR(I92+J92,0)</f>
        <v>0</v>
      </c>
      <c r="I92" s="384" t="n">
        <f aca="false">IFERROR(IF($D$3/$D$5&lt;K91,$D$3/$D$5,K91),0)</f>
        <v>0</v>
      </c>
      <c r="J92" s="384" t="n">
        <f aca="false">K91*$D$4/12/100</f>
        <v>0</v>
      </c>
      <c r="K92" s="387" t="n">
        <f aca="false">K91-I92-L92-M92</f>
        <v>0</v>
      </c>
      <c r="L92" s="388"/>
      <c r="M92" s="402"/>
      <c r="N92" s="409"/>
      <c r="O92" s="409"/>
      <c r="P92" s="391" t="n">
        <f aca="false">IF(ISBLANK(L91),VALUE(P91),ROW(L91))</f>
        <v>10</v>
      </c>
      <c r="Q92" s="314" t="n">
        <f aca="false">Q91+P91-P92</f>
        <v>12</v>
      </c>
      <c r="R92" s="314" t="n">
        <f aca="false">INDEX(G:G,P92,1)</f>
        <v>69000</v>
      </c>
      <c r="S92" s="312"/>
    </row>
    <row r="93" s="379" customFormat="true" ht="14.9" hidden="false" customHeight="false" outlineLevel="0" collapsed="false">
      <c r="A93" s="380" t="n">
        <v>83</v>
      </c>
      <c r="B93" s="381" t="str">
        <f aca="false">CONCATENATE(INT((A93-1)/12)+1,"-й год ",A93-1-INT((A93-1)/12)*12+1,"-й мес")</f>
        <v>7-й год 11-й мес</v>
      </c>
      <c r="C93" s="382" t="n">
        <f aca="false">DATE(YEAR(C92),MONTH(C92)+1,DAY(C92))</f>
        <v>46388</v>
      </c>
      <c r="D93" s="383" t="n">
        <f aca="false">IFERROR(IF(R93*$D$4/100/12/(1-(1+$D$4/100/12)^(-Q93))&lt;G92,ROUNDUP(R93*$D$4/100/12/(1-(1+$D$4/100/12)^(-Q93)),0),G92+F93),0)</f>
        <v>0</v>
      </c>
      <c r="E93" s="384" t="n">
        <f aca="false">D93-F93</f>
        <v>0</v>
      </c>
      <c r="F93" s="384" t="n">
        <f aca="false">G92*$D$4*(C93-C92)/(DATE(YEAR(C93)+1,1,1)-DATE(YEAR(C93),1,1))/100</f>
        <v>0</v>
      </c>
      <c r="G93" s="385" t="n">
        <f aca="false">G92-E93-L93-M93</f>
        <v>0</v>
      </c>
      <c r="H93" s="386" t="n">
        <f aca="false">IFERROR(I93+J93,0)</f>
        <v>0</v>
      </c>
      <c r="I93" s="384" t="n">
        <f aca="false">IFERROR(IF($D$3/$D$5&lt;K92,$D$3/$D$5,K92),0)</f>
        <v>0</v>
      </c>
      <c r="J93" s="384" t="n">
        <f aca="false">K92*$D$4/12/100</f>
        <v>0</v>
      </c>
      <c r="K93" s="387" t="n">
        <f aca="false">K92-I93-L93-M93</f>
        <v>0</v>
      </c>
      <c r="L93" s="388"/>
      <c r="M93" s="402"/>
      <c r="N93" s="409"/>
      <c r="O93" s="409"/>
      <c r="P93" s="391" t="n">
        <f aca="false">IF(ISBLANK(L92),VALUE(P92),ROW(L92))</f>
        <v>10</v>
      </c>
      <c r="Q93" s="314" t="n">
        <f aca="false">Q92+P92-P93</f>
        <v>12</v>
      </c>
      <c r="R93" s="314" t="n">
        <f aca="false">INDEX(G:G,P93,1)</f>
        <v>69000</v>
      </c>
      <c r="S93" s="312"/>
    </row>
    <row r="94" s="379" customFormat="true" ht="14.9" hidden="false" customHeight="false" outlineLevel="0" collapsed="false">
      <c r="A94" s="380" t="n">
        <v>84</v>
      </c>
      <c r="B94" s="392" t="str">
        <f aca="false">CONCATENATE(INT((A94-1)/12)+1,"-й год ",A94-1-INT((A94-1)/12)*12+1,"-й мес")</f>
        <v>7-й год 12-й мес</v>
      </c>
      <c r="C94" s="393" t="n">
        <f aca="false">DATE(YEAR(C93),MONTH(C93)+1,DAY(C93))</f>
        <v>46419</v>
      </c>
      <c r="D94" s="394" t="n">
        <f aca="false">IFERROR(IF(R94*$D$4/100/12/(1-(1+$D$4/100/12)^(-Q94))&lt;G93,ROUNDUP(R94*$D$4/100/12/(1-(1+$D$4/100/12)^(-Q94)),0),G93+F94),0)</f>
        <v>0</v>
      </c>
      <c r="E94" s="395" t="n">
        <f aca="false">D94-F94</f>
        <v>0</v>
      </c>
      <c r="F94" s="395" t="n">
        <f aca="false">G93*$D$4*(C94-C93)/(DATE(YEAR(C94)+1,1,1)-DATE(YEAR(C94),1,1))/100</f>
        <v>0</v>
      </c>
      <c r="G94" s="385" t="n">
        <f aca="false">G93-E94-L94-M94</f>
        <v>0</v>
      </c>
      <c r="H94" s="386" t="n">
        <f aca="false">IFERROR(I94+J94,0)</f>
        <v>0</v>
      </c>
      <c r="I94" s="384" t="n">
        <f aca="false">IFERROR(IF($D$3/$D$5&lt;K93,$D$3/$D$5,K93),0)</f>
        <v>0</v>
      </c>
      <c r="J94" s="384" t="n">
        <f aca="false">K93*$D$4/12/100</f>
        <v>0</v>
      </c>
      <c r="K94" s="387" t="n">
        <f aca="false">K93-I94-L94-M94</f>
        <v>0</v>
      </c>
      <c r="L94" s="388"/>
      <c r="M94" s="402"/>
      <c r="N94" s="409"/>
      <c r="O94" s="409"/>
      <c r="P94" s="391" t="n">
        <f aca="false">IF(ISBLANK(L93),VALUE(P93),ROW(L93))</f>
        <v>10</v>
      </c>
      <c r="Q94" s="314" t="n">
        <f aca="false">Q93+P93-P94</f>
        <v>12</v>
      </c>
      <c r="R94" s="314" t="n">
        <f aca="false">INDEX(G:G,P94,1)</f>
        <v>69000</v>
      </c>
      <c r="S94" s="312"/>
    </row>
    <row r="95" s="379" customFormat="true" ht="14.9" hidden="false" customHeight="false" outlineLevel="0" collapsed="false">
      <c r="A95" s="396" t="n">
        <v>85</v>
      </c>
      <c r="B95" s="381" t="str">
        <f aca="false">CONCATENATE(INT((A95-1)/12)+1,"-й год ",A95-1-INT((A95-1)/12)*12+1,"-й мес")</f>
        <v>8-й год 1-й мес</v>
      </c>
      <c r="C95" s="382" t="n">
        <f aca="false">DATE(YEAR(C94),MONTH(C94)+1,DAY(C94))</f>
        <v>46447</v>
      </c>
      <c r="D95" s="383" t="n">
        <f aca="false">IFERROR(IF(R95*$D$4/100/12/(1-(1+$D$4/100/12)^(-Q95))&lt;G94,ROUNDUP(R95*$D$4/100/12/(1-(1+$D$4/100/12)^(-Q95)),0),G94+F95),0)</f>
        <v>0</v>
      </c>
      <c r="E95" s="384" t="n">
        <f aca="false">D95-F95</f>
        <v>0</v>
      </c>
      <c r="F95" s="384" t="n">
        <f aca="false">G94*$D$4*(C95-C94)/(DATE(YEAR(C95)+1,1,1)-DATE(YEAR(C95),1,1))/100</f>
        <v>0</v>
      </c>
      <c r="G95" s="397" t="n">
        <f aca="false">G94-E95-L95-M95</f>
        <v>0</v>
      </c>
      <c r="H95" s="398" t="n">
        <f aca="false">IFERROR(I95+J95,0)</f>
        <v>0</v>
      </c>
      <c r="I95" s="399" t="n">
        <f aca="false">IFERROR(IF($D$3/$D$5&lt;K94,$D$3/$D$5,K94),0)</f>
        <v>0</v>
      </c>
      <c r="J95" s="399" t="n">
        <f aca="false">K94*$D$4/12/100</f>
        <v>0</v>
      </c>
      <c r="K95" s="400" t="n">
        <f aca="false">K94-I95-L95-M95</f>
        <v>0</v>
      </c>
      <c r="L95" s="401"/>
      <c r="M95" s="402"/>
      <c r="N95" s="409"/>
      <c r="O95" s="409"/>
      <c r="P95" s="391" t="n">
        <f aca="false">IF(ISBLANK(L94),VALUE(P94),ROW(L94))</f>
        <v>10</v>
      </c>
      <c r="Q95" s="314" t="n">
        <f aca="false">Q94+P94-P95</f>
        <v>12</v>
      </c>
      <c r="R95" s="314" t="n">
        <f aca="false">INDEX(G:G,P95,1)</f>
        <v>69000</v>
      </c>
      <c r="S95" s="312"/>
    </row>
    <row r="96" s="379" customFormat="true" ht="14.9" hidden="false" customHeight="false" outlineLevel="0" collapsed="false">
      <c r="A96" s="403" t="n">
        <v>86</v>
      </c>
      <c r="B96" s="381" t="str">
        <f aca="false">CONCATENATE(INT((A96-1)/12)+1,"-й год ",A96-1-INT((A96-1)/12)*12+1,"-й мес")</f>
        <v>8-й год 2-й мес</v>
      </c>
      <c r="C96" s="382" t="n">
        <f aca="false">DATE(YEAR(C95),MONTH(C95)+1,DAY(C95))</f>
        <v>46478</v>
      </c>
      <c r="D96" s="383" t="n">
        <f aca="false">IFERROR(IF(R96*$D$4/100/12/(1-(1+$D$4/100/12)^(-Q96))&lt;G95,ROUNDUP(R96*$D$4/100/12/(1-(1+$D$4/100/12)^(-Q96)),0),G95+F96),0)</f>
        <v>0</v>
      </c>
      <c r="E96" s="384" t="n">
        <f aca="false">D96-F96</f>
        <v>0</v>
      </c>
      <c r="F96" s="384" t="n">
        <f aca="false">G95*$D$4*(C96-C95)/(DATE(YEAR(C96)+1,1,1)-DATE(YEAR(C96),1,1))/100</f>
        <v>0</v>
      </c>
      <c r="G96" s="385" t="n">
        <f aca="false">G95-E96-L96-M96</f>
        <v>0</v>
      </c>
      <c r="H96" s="386" t="n">
        <f aca="false">IFERROR(I96+J96,0)</f>
        <v>0</v>
      </c>
      <c r="I96" s="384" t="n">
        <f aca="false">IFERROR(IF($D$3/$D$5&lt;K95,$D$3/$D$5,K95),0)</f>
        <v>0</v>
      </c>
      <c r="J96" s="384" t="n">
        <f aca="false">K95*$D$4/12/100</f>
        <v>0</v>
      </c>
      <c r="K96" s="387" t="n">
        <f aca="false">K95-I96-L96-M96</f>
        <v>0</v>
      </c>
      <c r="L96" s="388"/>
      <c r="M96" s="402"/>
      <c r="N96" s="409"/>
      <c r="O96" s="409"/>
      <c r="P96" s="391" t="n">
        <f aca="false">IF(ISBLANK(L95),VALUE(P95),ROW(L95))</f>
        <v>10</v>
      </c>
      <c r="Q96" s="314" t="n">
        <f aca="false">Q95+P95-P96</f>
        <v>12</v>
      </c>
      <c r="R96" s="314" t="n">
        <f aca="false">INDEX(G:G,P96,1)</f>
        <v>69000</v>
      </c>
      <c r="S96" s="312"/>
    </row>
    <row r="97" s="379" customFormat="true" ht="14.9" hidden="false" customHeight="false" outlineLevel="0" collapsed="false">
      <c r="A97" s="403" t="n">
        <v>87</v>
      </c>
      <c r="B97" s="381" t="str">
        <f aca="false">CONCATENATE(INT((A97-1)/12)+1,"-й год ",A97-1-INT((A97-1)/12)*12+1,"-й мес")</f>
        <v>8-й год 3-й мес</v>
      </c>
      <c r="C97" s="382" t="n">
        <f aca="false">DATE(YEAR(C96),MONTH(C96)+1,DAY(C96))</f>
        <v>46508</v>
      </c>
      <c r="D97" s="383" t="n">
        <f aca="false">IFERROR(IF(R97*$D$4/100/12/(1-(1+$D$4/100/12)^(-Q97))&lt;G96,ROUNDUP(R97*$D$4/100/12/(1-(1+$D$4/100/12)^(-Q97)),0),G96+F97),0)</f>
        <v>0</v>
      </c>
      <c r="E97" s="384" t="n">
        <f aca="false">D97-F97</f>
        <v>0</v>
      </c>
      <c r="F97" s="384" t="n">
        <f aca="false">G96*$D$4*(C97-C96)/(DATE(YEAR(C97)+1,1,1)-DATE(YEAR(C97),1,1))/100</f>
        <v>0</v>
      </c>
      <c r="G97" s="385" t="n">
        <f aca="false">G96-E97-L97-M97</f>
        <v>0</v>
      </c>
      <c r="H97" s="386" t="n">
        <f aca="false">IFERROR(I97+J97,0)</f>
        <v>0</v>
      </c>
      <c r="I97" s="384" t="n">
        <f aca="false">IFERROR(IF($D$3/$D$5&lt;K96,$D$3/$D$5,K96),0)</f>
        <v>0</v>
      </c>
      <c r="J97" s="384" t="n">
        <f aca="false">K96*$D$4/12/100</f>
        <v>0</v>
      </c>
      <c r="K97" s="387" t="n">
        <f aca="false">K96-I97-L97-M97</f>
        <v>0</v>
      </c>
      <c r="L97" s="388"/>
      <c r="M97" s="402"/>
      <c r="N97" s="409"/>
      <c r="O97" s="409"/>
      <c r="P97" s="391" t="n">
        <f aca="false">IF(ISBLANK(L96),VALUE(P96),ROW(L96))</f>
        <v>10</v>
      </c>
      <c r="Q97" s="314" t="n">
        <f aca="false">Q96+P96-P97</f>
        <v>12</v>
      </c>
      <c r="R97" s="314" t="n">
        <f aca="false">INDEX(G:G,P97,1)</f>
        <v>69000</v>
      </c>
      <c r="S97" s="312"/>
    </row>
    <row r="98" s="379" customFormat="true" ht="14.9" hidden="false" customHeight="false" outlineLevel="0" collapsed="false">
      <c r="A98" s="403" t="n">
        <v>88</v>
      </c>
      <c r="B98" s="381" t="str">
        <f aca="false">CONCATENATE(INT((A98-1)/12)+1,"-й год ",A98-1-INT((A98-1)/12)*12+1,"-й мес")</f>
        <v>8-й год 4-й мес</v>
      </c>
      <c r="C98" s="382" t="n">
        <f aca="false">DATE(YEAR(C97),MONTH(C97)+1,DAY(C97))</f>
        <v>46539</v>
      </c>
      <c r="D98" s="383" t="n">
        <f aca="false">IFERROR(IF(R98*$D$4/100/12/(1-(1+$D$4/100/12)^(-Q98))&lt;G97,ROUNDUP(R98*$D$4/100/12/(1-(1+$D$4/100/12)^(-Q98)),0),G97+F98),0)</f>
        <v>0</v>
      </c>
      <c r="E98" s="384" t="n">
        <f aca="false">D98-F98</f>
        <v>0</v>
      </c>
      <c r="F98" s="384" t="n">
        <f aca="false">G97*$D$4*(C98-C97)/(DATE(YEAR(C98)+1,1,1)-DATE(YEAR(C98),1,1))/100</f>
        <v>0</v>
      </c>
      <c r="G98" s="385" t="n">
        <f aca="false">G97-E98-L98-M98</f>
        <v>0</v>
      </c>
      <c r="H98" s="386" t="n">
        <f aca="false">IFERROR(I98+J98,0)</f>
        <v>0</v>
      </c>
      <c r="I98" s="384" t="n">
        <f aca="false">IFERROR(IF($D$3/$D$5&lt;K97,$D$3/$D$5,K97),0)</f>
        <v>0</v>
      </c>
      <c r="J98" s="384" t="n">
        <f aca="false">K97*$D$4/12/100</f>
        <v>0</v>
      </c>
      <c r="K98" s="387" t="n">
        <f aca="false">K97-I98-L98-M98</f>
        <v>0</v>
      </c>
      <c r="L98" s="388"/>
      <c r="M98" s="402"/>
      <c r="N98" s="409"/>
      <c r="O98" s="409"/>
      <c r="P98" s="391" t="n">
        <f aca="false">IF(ISBLANK(L97),VALUE(P97),ROW(L97))</f>
        <v>10</v>
      </c>
      <c r="Q98" s="314" t="n">
        <f aca="false">Q97+P97-P98</f>
        <v>12</v>
      </c>
      <c r="R98" s="314" t="n">
        <f aca="false">INDEX(G:G,P98,1)</f>
        <v>69000</v>
      </c>
      <c r="S98" s="312"/>
    </row>
    <row r="99" s="379" customFormat="true" ht="14.9" hidden="false" customHeight="false" outlineLevel="0" collapsed="false">
      <c r="A99" s="403" t="n">
        <v>89</v>
      </c>
      <c r="B99" s="381" t="str">
        <f aca="false">CONCATENATE(INT((A99-1)/12)+1,"-й год ",A99-1-INT((A99-1)/12)*12+1,"-й мес")</f>
        <v>8-й год 5-й мес</v>
      </c>
      <c r="C99" s="382" t="n">
        <f aca="false">DATE(YEAR(C98),MONTH(C98)+1,DAY(C98))</f>
        <v>46569</v>
      </c>
      <c r="D99" s="383" t="n">
        <f aca="false">IFERROR(IF(R99*$D$4/100/12/(1-(1+$D$4/100/12)^(-Q99))&lt;G98,ROUNDUP(R99*$D$4/100/12/(1-(1+$D$4/100/12)^(-Q99)),0),G98+F99),0)</f>
        <v>0</v>
      </c>
      <c r="E99" s="384" t="n">
        <f aca="false">D99-F99</f>
        <v>0</v>
      </c>
      <c r="F99" s="384" t="n">
        <f aca="false">G98*$D$4*(C99-C98)/(DATE(YEAR(C99)+1,1,1)-DATE(YEAR(C99),1,1))/100</f>
        <v>0</v>
      </c>
      <c r="G99" s="385" t="n">
        <f aca="false">G98-E99-L99-M99</f>
        <v>0</v>
      </c>
      <c r="H99" s="386" t="n">
        <f aca="false">IFERROR(I99+J99,0)</f>
        <v>0</v>
      </c>
      <c r="I99" s="384" t="n">
        <f aca="false">IFERROR(IF($D$3/$D$5&lt;K98,$D$3/$D$5,K98),0)</f>
        <v>0</v>
      </c>
      <c r="J99" s="384" t="n">
        <f aca="false">K98*$D$4/12/100</f>
        <v>0</v>
      </c>
      <c r="K99" s="387" t="n">
        <f aca="false">K98-I99-L99-M99</f>
        <v>0</v>
      </c>
      <c r="L99" s="388"/>
      <c r="M99" s="402"/>
      <c r="N99" s="409"/>
      <c r="O99" s="409"/>
      <c r="P99" s="391" t="n">
        <f aca="false">IF(ISBLANK(L98),VALUE(P98),ROW(L98))</f>
        <v>10</v>
      </c>
      <c r="Q99" s="314" t="n">
        <f aca="false">Q98+P98-P99</f>
        <v>12</v>
      </c>
      <c r="R99" s="314" t="n">
        <f aca="false">INDEX(G:G,P99,1)</f>
        <v>69000</v>
      </c>
      <c r="S99" s="312"/>
    </row>
    <row r="100" s="379" customFormat="true" ht="14.9" hidden="false" customHeight="false" outlineLevel="0" collapsed="false">
      <c r="A100" s="403" t="n">
        <v>90</v>
      </c>
      <c r="B100" s="381" t="str">
        <f aca="false">CONCATENATE(INT((A100-1)/12)+1,"-й год ",A100-1-INT((A100-1)/12)*12+1,"-й мес")</f>
        <v>8-й год 6-й мес</v>
      </c>
      <c r="C100" s="382" t="n">
        <f aca="false">DATE(YEAR(C99),MONTH(C99)+1,DAY(C99))</f>
        <v>46600</v>
      </c>
      <c r="D100" s="383" t="n">
        <f aca="false">IFERROR(IF(R100*$D$4/100/12/(1-(1+$D$4/100/12)^(-Q100))&lt;G99,ROUNDUP(R100*$D$4/100/12/(1-(1+$D$4/100/12)^(-Q100)),0),G99+F100),0)</f>
        <v>0</v>
      </c>
      <c r="E100" s="384" t="n">
        <f aca="false">D100-F100</f>
        <v>0</v>
      </c>
      <c r="F100" s="384" t="n">
        <f aca="false">G99*$D$4*(C100-C99)/(DATE(YEAR(C100)+1,1,1)-DATE(YEAR(C100),1,1))/100</f>
        <v>0</v>
      </c>
      <c r="G100" s="385" t="n">
        <f aca="false">G99-E100-L100-M100</f>
        <v>0</v>
      </c>
      <c r="H100" s="386" t="n">
        <f aca="false">IFERROR(I100+J100,0)</f>
        <v>0</v>
      </c>
      <c r="I100" s="384" t="n">
        <f aca="false">IFERROR(IF($D$3/$D$5&lt;K99,$D$3/$D$5,K99),0)</f>
        <v>0</v>
      </c>
      <c r="J100" s="384" t="n">
        <f aca="false">K99*$D$4/12/100</f>
        <v>0</v>
      </c>
      <c r="K100" s="387" t="n">
        <f aca="false">K99-I100-L100-M100</f>
        <v>0</v>
      </c>
      <c r="L100" s="388"/>
      <c r="M100" s="402"/>
      <c r="N100" s="409"/>
      <c r="O100" s="409"/>
      <c r="P100" s="391" t="n">
        <f aca="false">IF(ISBLANK(L99),VALUE(P99),ROW(L99))</f>
        <v>10</v>
      </c>
      <c r="Q100" s="314" t="n">
        <f aca="false">Q99+P99-P100</f>
        <v>12</v>
      </c>
      <c r="R100" s="314" t="n">
        <f aca="false">INDEX(G:G,P100,1)</f>
        <v>69000</v>
      </c>
      <c r="S100" s="312"/>
    </row>
    <row r="101" s="379" customFormat="true" ht="14.9" hidden="false" customHeight="false" outlineLevel="0" collapsed="false">
      <c r="A101" s="403" t="n">
        <v>91</v>
      </c>
      <c r="B101" s="381" t="str">
        <f aca="false">CONCATENATE(INT((A101-1)/12)+1,"-й год ",A101-1-INT((A101-1)/12)*12+1,"-й мес")</f>
        <v>8-й год 7-й мес</v>
      </c>
      <c r="C101" s="382" t="n">
        <f aca="false">DATE(YEAR(C100),MONTH(C100)+1,DAY(C100))</f>
        <v>46631</v>
      </c>
      <c r="D101" s="383" t="n">
        <f aca="false">IFERROR(IF(R101*$D$4/100/12/(1-(1+$D$4/100/12)^(-Q101))&lt;G100,ROUNDUP(R101*$D$4/100/12/(1-(1+$D$4/100/12)^(-Q101)),0),G100+F101),0)</f>
        <v>0</v>
      </c>
      <c r="E101" s="384" t="n">
        <f aca="false">D101-F101</f>
        <v>0</v>
      </c>
      <c r="F101" s="384" t="n">
        <f aca="false">G100*$D$4*(C101-C100)/(DATE(YEAR(C101)+1,1,1)-DATE(YEAR(C101),1,1))/100</f>
        <v>0</v>
      </c>
      <c r="G101" s="385" t="n">
        <f aca="false">G100-E101-L101-M101</f>
        <v>0</v>
      </c>
      <c r="H101" s="386" t="n">
        <f aca="false">IFERROR(I101+J101,0)</f>
        <v>0</v>
      </c>
      <c r="I101" s="384" t="n">
        <f aca="false">IFERROR(IF($D$3/$D$5&lt;K100,$D$3/$D$5,K100),0)</f>
        <v>0</v>
      </c>
      <c r="J101" s="384" t="n">
        <f aca="false">K100*$D$4/12/100</f>
        <v>0</v>
      </c>
      <c r="K101" s="387" t="n">
        <f aca="false">K100-I101-L101-M101</f>
        <v>0</v>
      </c>
      <c r="L101" s="388"/>
      <c r="M101" s="402"/>
      <c r="N101" s="409"/>
      <c r="O101" s="409"/>
      <c r="P101" s="391" t="n">
        <f aca="false">IF(ISBLANK(L100),VALUE(P100),ROW(L100))</f>
        <v>10</v>
      </c>
      <c r="Q101" s="314" t="n">
        <f aca="false">Q100+P100-P101</f>
        <v>12</v>
      </c>
      <c r="R101" s="314" t="n">
        <f aca="false">INDEX(G:G,P101,1)</f>
        <v>69000</v>
      </c>
      <c r="S101" s="312"/>
    </row>
    <row r="102" s="379" customFormat="true" ht="14.9" hidden="false" customHeight="false" outlineLevel="0" collapsed="false">
      <c r="A102" s="403" t="n">
        <v>92</v>
      </c>
      <c r="B102" s="381" t="str">
        <f aca="false">CONCATENATE(INT((A102-1)/12)+1,"-й год ",A102-1-INT((A102-1)/12)*12+1,"-й мес")</f>
        <v>8-й год 8-й мес</v>
      </c>
      <c r="C102" s="382" t="n">
        <f aca="false">DATE(YEAR(C101),MONTH(C101)+1,DAY(C101))</f>
        <v>46661</v>
      </c>
      <c r="D102" s="383" t="n">
        <f aca="false">IFERROR(IF(R102*$D$4/100/12/(1-(1+$D$4/100/12)^(-Q102))&lt;G101,ROUNDUP(R102*$D$4/100/12/(1-(1+$D$4/100/12)^(-Q102)),0),G101+F102),0)</f>
        <v>0</v>
      </c>
      <c r="E102" s="384" t="n">
        <f aca="false">D102-F102</f>
        <v>0</v>
      </c>
      <c r="F102" s="384" t="n">
        <f aca="false">G101*$D$4*(C102-C101)/(DATE(YEAR(C102)+1,1,1)-DATE(YEAR(C102),1,1))/100</f>
        <v>0</v>
      </c>
      <c r="G102" s="385" t="n">
        <f aca="false">G101-E102-L102-M102</f>
        <v>0</v>
      </c>
      <c r="H102" s="386" t="n">
        <f aca="false">IFERROR(I102+J102,0)</f>
        <v>0</v>
      </c>
      <c r="I102" s="384" t="n">
        <f aca="false">IFERROR(IF($D$3/$D$5&lt;K101,$D$3/$D$5,K101),0)</f>
        <v>0</v>
      </c>
      <c r="J102" s="384" t="n">
        <f aca="false">K101*$D$4/12/100</f>
        <v>0</v>
      </c>
      <c r="K102" s="387" t="n">
        <f aca="false">K101-I102-L102-M102</f>
        <v>0</v>
      </c>
      <c r="L102" s="388"/>
      <c r="M102" s="402"/>
      <c r="N102" s="409"/>
      <c r="O102" s="409"/>
      <c r="P102" s="391" t="n">
        <f aca="false">IF(ISBLANK(L101),VALUE(P101),ROW(L101))</f>
        <v>10</v>
      </c>
      <c r="Q102" s="314" t="n">
        <f aca="false">Q101+P101-P102</f>
        <v>12</v>
      </c>
      <c r="R102" s="314" t="n">
        <f aca="false">INDEX(G:G,P102,1)</f>
        <v>69000</v>
      </c>
      <c r="S102" s="312"/>
    </row>
    <row r="103" s="379" customFormat="true" ht="14.9" hidden="false" customHeight="false" outlineLevel="0" collapsed="false">
      <c r="A103" s="403" t="n">
        <v>93</v>
      </c>
      <c r="B103" s="381" t="str">
        <f aca="false">CONCATENATE(INT((A103-1)/12)+1,"-й год ",A103-1-INT((A103-1)/12)*12+1,"-й мес")</f>
        <v>8-й год 9-й мес</v>
      </c>
      <c r="C103" s="382" t="n">
        <f aca="false">DATE(YEAR(C102),MONTH(C102)+1,DAY(C102))</f>
        <v>46692</v>
      </c>
      <c r="D103" s="383" t="n">
        <f aca="false">IFERROR(IF(R103*$D$4/100/12/(1-(1+$D$4/100/12)^(-Q103))&lt;G102,ROUNDUP(R103*$D$4/100/12/(1-(1+$D$4/100/12)^(-Q103)),0),G102+F103),0)</f>
        <v>0</v>
      </c>
      <c r="E103" s="384" t="n">
        <f aca="false">D103-F103</f>
        <v>0</v>
      </c>
      <c r="F103" s="384" t="n">
        <f aca="false">G102*$D$4*(C103-C102)/(DATE(YEAR(C103)+1,1,1)-DATE(YEAR(C103),1,1))/100</f>
        <v>0</v>
      </c>
      <c r="G103" s="385" t="n">
        <f aca="false">G102-E103-L103-M103</f>
        <v>0</v>
      </c>
      <c r="H103" s="386" t="n">
        <f aca="false">IFERROR(I103+J103,0)</f>
        <v>0</v>
      </c>
      <c r="I103" s="384" t="n">
        <f aca="false">IFERROR(IF($D$3/$D$5&lt;K102,$D$3/$D$5,K102),0)</f>
        <v>0</v>
      </c>
      <c r="J103" s="384" t="n">
        <f aca="false">K102*$D$4/12/100</f>
        <v>0</v>
      </c>
      <c r="K103" s="387" t="n">
        <f aca="false">K102-I103-L103-M103</f>
        <v>0</v>
      </c>
      <c r="L103" s="388"/>
      <c r="M103" s="402"/>
      <c r="N103" s="409"/>
      <c r="O103" s="409"/>
      <c r="P103" s="391" t="n">
        <f aca="false">IF(ISBLANK(L102),VALUE(P102),ROW(L102))</f>
        <v>10</v>
      </c>
      <c r="Q103" s="314" t="n">
        <f aca="false">Q102+P102-P103</f>
        <v>12</v>
      </c>
      <c r="R103" s="314" t="n">
        <f aca="false">INDEX(G:G,P103,1)</f>
        <v>69000</v>
      </c>
      <c r="S103" s="312"/>
    </row>
    <row r="104" s="379" customFormat="true" ht="14.9" hidden="false" customHeight="false" outlineLevel="0" collapsed="false">
      <c r="A104" s="403" t="n">
        <v>94</v>
      </c>
      <c r="B104" s="381" t="str">
        <f aca="false">CONCATENATE(INT((A104-1)/12)+1,"-й год ",A104-1-INT((A104-1)/12)*12+1,"-й мес")</f>
        <v>8-й год 10-й мес</v>
      </c>
      <c r="C104" s="382" t="n">
        <f aca="false">DATE(YEAR(C103),MONTH(C103)+1,DAY(C103))</f>
        <v>46722</v>
      </c>
      <c r="D104" s="383" t="n">
        <f aca="false">IFERROR(IF(R104*$D$4/100/12/(1-(1+$D$4/100/12)^(-Q104))&lt;G103,ROUNDUP(R104*$D$4/100/12/(1-(1+$D$4/100/12)^(-Q104)),0),G103+F104),0)</f>
        <v>0</v>
      </c>
      <c r="E104" s="384" t="n">
        <f aca="false">D104-F104</f>
        <v>0</v>
      </c>
      <c r="F104" s="384" t="n">
        <f aca="false">G103*$D$4*(C104-C103)/(DATE(YEAR(C104)+1,1,1)-DATE(YEAR(C104),1,1))/100</f>
        <v>0</v>
      </c>
      <c r="G104" s="385" t="n">
        <f aca="false">G103-E104-L104-M104</f>
        <v>0</v>
      </c>
      <c r="H104" s="386" t="n">
        <f aca="false">IFERROR(I104+J104,0)</f>
        <v>0</v>
      </c>
      <c r="I104" s="384" t="n">
        <f aca="false">IFERROR(IF($D$3/$D$5&lt;K103,$D$3/$D$5,K103),0)</f>
        <v>0</v>
      </c>
      <c r="J104" s="384" t="n">
        <f aca="false">K103*$D$4/12/100</f>
        <v>0</v>
      </c>
      <c r="K104" s="387" t="n">
        <f aca="false">K103-I104-L104-M104</f>
        <v>0</v>
      </c>
      <c r="L104" s="388"/>
      <c r="M104" s="402"/>
      <c r="N104" s="409"/>
      <c r="O104" s="409"/>
      <c r="P104" s="391" t="n">
        <f aca="false">IF(ISBLANK(L103),VALUE(P103),ROW(L103))</f>
        <v>10</v>
      </c>
      <c r="Q104" s="314" t="n">
        <f aca="false">Q103+P103-P104</f>
        <v>12</v>
      </c>
      <c r="R104" s="314" t="n">
        <f aca="false">INDEX(G:G,P104,1)</f>
        <v>69000</v>
      </c>
      <c r="S104" s="312"/>
    </row>
    <row r="105" s="379" customFormat="true" ht="14.9" hidden="false" customHeight="false" outlineLevel="0" collapsed="false">
      <c r="A105" s="403" t="n">
        <v>95</v>
      </c>
      <c r="B105" s="381" t="str">
        <f aca="false">CONCATENATE(INT((A105-1)/12)+1,"-й год ",A105-1-INT((A105-1)/12)*12+1,"-й мес")</f>
        <v>8-й год 11-й мес</v>
      </c>
      <c r="C105" s="382" t="n">
        <f aca="false">DATE(YEAR(C104),MONTH(C104)+1,DAY(C104))</f>
        <v>46753</v>
      </c>
      <c r="D105" s="383" t="n">
        <f aca="false">IFERROR(IF(R105*$D$4/100/12/(1-(1+$D$4/100/12)^(-Q105))&lt;G104,ROUNDUP(R105*$D$4/100/12/(1-(1+$D$4/100/12)^(-Q105)),0),G104+F105),0)</f>
        <v>0</v>
      </c>
      <c r="E105" s="384" t="n">
        <f aca="false">D105-F105</f>
        <v>0</v>
      </c>
      <c r="F105" s="384" t="n">
        <f aca="false">G104*$D$4*(C105-C104)/(DATE(YEAR(C105)+1,1,1)-DATE(YEAR(C105),1,1))/100</f>
        <v>0</v>
      </c>
      <c r="G105" s="385" t="n">
        <f aca="false">G104-E105-L105-M105</f>
        <v>0</v>
      </c>
      <c r="H105" s="386" t="n">
        <f aca="false">IFERROR(I105+J105,0)</f>
        <v>0</v>
      </c>
      <c r="I105" s="384" t="n">
        <f aca="false">IFERROR(IF($D$3/$D$5&lt;K104,$D$3/$D$5,K104),0)</f>
        <v>0</v>
      </c>
      <c r="J105" s="384" t="n">
        <f aca="false">K104*$D$4/12/100</f>
        <v>0</v>
      </c>
      <c r="K105" s="387" t="n">
        <f aca="false">K104-I105-L105-M105</f>
        <v>0</v>
      </c>
      <c r="L105" s="388"/>
      <c r="M105" s="402"/>
      <c r="N105" s="409"/>
      <c r="O105" s="409"/>
      <c r="P105" s="391" t="n">
        <f aca="false">IF(ISBLANK(L104),VALUE(P104),ROW(L104))</f>
        <v>10</v>
      </c>
      <c r="Q105" s="314" t="n">
        <f aca="false">Q104+P104-P105</f>
        <v>12</v>
      </c>
      <c r="R105" s="314" t="n">
        <f aca="false">INDEX(G:G,P105,1)</f>
        <v>69000</v>
      </c>
      <c r="S105" s="312"/>
    </row>
    <row r="106" s="379" customFormat="true" ht="14.9" hidden="false" customHeight="false" outlineLevel="0" collapsed="false">
      <c r="A106" s="404" t="n">
        <v>96</v>
      </c>
      <c r="B106" s="392" t="str">
        <f aca="false">CONCATENATE(INT((A106-1)/12)+1,"-й год ",A106-1-INT((A106-1)/12)*12+1,"-й мес")</f>
        <v>8-й год 12-й мес</v>
      </c>
      <c r="C106" s="393" t="n">
        <f aca="false">DATE(YEAR(C105),MONTH(C105)+1,DAY(C105))</f>
        <v>46784</v>
      </c>
      <c r="D106" s="394" t="n">
        <f aca="false">IFERROR(IF(R106*$D$4/100/12/(1-(1+$D$4/100/12)^(-Q106))&lt;G105,ROUNDUP(R106*$D$4/100/12/(1-(1+$D$4/100/12)^(-Q106)),0),G105+F106),0)</f>
        <v>0</v>
      </c>
      <c r="E106" s="395" t="n">
        <f aca="false">D106-F106</f>
        <v>0</v>
      </c>
      <c r="F106" s="395" t="n">
        <f aca="false">G105*$D$4*(C106-C105)/(DATE(YEAR(C106)+1,1,1)-DATE(YEAR(C106),1,1))/100</f>
        <v>0</v>
      </c>
      <c r="G106" s="405" t="n">
        <f aca="false">G105-E106-L106-M106</f>
        <v>0</v>
      </c>
      <c r="H106" s="406" t="n">
        <f aca="false">IFERROR(I106+J106,0)</f>
        <v>0</v>
      </c>
      <c r="I106" s="395" t="n">
        <f aca="false">IFERROR(IF($D$3/$D$5&lt;K105,$D$3/$D$5,K105),0)</f>
        <v>0</v>
      </c>
      <c r="J106" s="395" t="n">
        <f aca="false">K105*$D$4/12/100</f>
        <v>0</v>
      </c>
      <c r="K106" s="407" t="n">
        <f aca="false">K105-I106-L106-M106</f>
        <v>0</v>
      </c>
      <c r="L106" s="408"/>
      <c r="M106" s="402"/>
      <c r="N106" s="409"/>
      <c r="O106" s="409"/>
      <c r="P106" s="391" t="n">
        <f aca="false">IF(ISBLANK(L105),VALUE(P105),ROW(L105))</f>
        <v>10</v>
      </c>
      <c r="Q106" s="314" t="n">
        <f aca="false">Q105+P105-P106</f>
        <v>12</v>
      </c>
      <c r="R106" s="314" t="n">
        <f aca="false">INDEX(G:G,P106,1)</f>
        <v>69000</v>
      </c>
      <c r="S106" s="312"/>
    </row>
    <row r="107" s="379" customFormat="true" ht="14.9" hidden="false" customHeight="false" outlineLevel="0" collapsed="false">
      <c r="A107" s="380" t="n">
        <v>97</v>
      </c>
      <c r="B107" s="381" t="str">
        <f aca="false">CONCATENATE(INT((A107-1)/12)+1,"-й год ",A107-1-INT((A107-1)/12)*12+1,"-й мес")</f>
        <v>9-й год 1-й мес</v>
      </c>
      <c r="C107" s="382" t="n">
        <f aca="false">DATE(YEAR(C106),MONTH(C106)+1,DAY(C106))</f>
        <v>46813</v>
      </c>
      <c r="D107" s="383" t="n">
        <f aca="false">IFERROR(IF(R107*$D$4/100/12/(1-(1+$D$4/100/12)^(-Q107))&lt;G106,ROUNDUP(R107*$D$4/100/12/(1-(1+$D$4/100/12)^(-Q107)),0),G106+F107),0)</f>
        <v>0</v>
      </c>
      <c r="E107" s="384" t="n">
        <f aca="false">D107-F107</f>
        <v>0</v>
      </c>
      <c r="F107" s="384" t="n">
        <f aca="false">G106*$D$4*(C107-C106)/(DATE(YEAR(C107)+1,1,1)-DATE(YEAR(C107),1,1))/100</f>
        <v>0</v>
      </c>
      <c r="G107" s="385" t="n">
        <f aca="false">G106-E107-L107-M107</f>
        <v>0</v>
      </c>
      <c r="H107" s="386" t="n">
        <f aca="false">IFERROR(I107+J107,0)</f>
        <v>0</v>
      </c>
      <c r="I107" s="384" t="n">
        <f aca="false">IFERROR(IF($D$3/$D$5&lt;K106,$D$3/$D$5,K106),0)</f>
        <v>0</v>
      </c>
      <c r="J107" s="384" t="n">
        <f aca="false">K106*$D$4/12/100</f>
        <v>0</v>
      </c>
      <c r="K107" s="387" t="n">
        <f aca="false">K106-I107-L107-M107</f>
        <v>0</v>
      </c>
      <c r="L107" s="388"/>
      <c r="M107" s="402"/>
      <c r="N107" s="409"/>
      <c r="O107" s="409"/>
      <c r="P107" s="391" t="n">
        <f aca="false">IF(ISBLANK(L106),VALUE(P106),ROW(L106))</f>
        <v>10</v>
      </c>
      <c r="Q107" s="314" t="n">
        <f aca="false">Q106+P106-P107</f>
        <v>12</v>
      </c>
      <c r="R107" s="314" t="n">
        <f aca="false">INDEX(G:G,P107,1)</f>
        <v>69000</v>
      </c>
      <c r="S107" s="312"/>
    </row>
    <row r="108" s="379" customFormat="true" ht="14.9" hidden="false" customHeight="false" outlineLevel="0" collapsed="false">
      <c r="A108" s="380" t="n">
        <v>98</v>
      </c>
      <c r="B108" s="381" t="str">
        <f aca="false">CONCATENATE(INT((A108-1)/12)+1,"-й год ",A108-1-INT((A108-1)/12)*12+1,"-й мес")</f>
        <v>9-й год 2-й мес</v>
      </c>
      <c r="C108" s="382" t="n">
        <f aca="false">DATE(YEAR(C107),MONTH(C107)+1,DAY(C107))</f>
        <v>46844</v>
      </c>
      <c r="D108" s="383" t="n">
        <f aca="false">IFERROR(IF(R108*$D$4/100/12/(1-(1+$D$4/100/12)^(-Q108))&lt;G107,ROUNDUP(R108*$D$4/100/12/(1-(1+$D$4/100/12)^(-Q108)),0),G107+F108),0)</f>
        <v>0</v>
      </c>
      <c r="E108" s="384" t="n">
        <f aca="false">D108-F108</f>
        <v>0</v>
      </c>
      <c r="F108" s="384" t="n">
        <f aca="false">G107*$D$4*(C108-C107)/(DATE(YEAR(C108)+1,1,1)-DATE(YEAR(C108),1,1))/100</f>
        <v>0</v>
      </c>
      <c r="G108" s="385" t="n">
        <f aca="false">G107-E108-L108-M108</f>
        <v>0</v>
      </c>
      <c r="H108" s="386" t="n">
        <f aca="false">IFERROR(I108+J108,0)</f>
        <v>0</v>
      </c>
      <c r="I108" s="384" t="n">
        <f aca="false">IFERROR(IF($D$3/$D$5&lt;K107,$D$3/$D$5,K107),0)</f>
        <v>0</v>
      </c>
      <c r="J108" s="384" t="n">
        <f aca="false">K107*$D$4/12/100</f>
        <v>0</v>
      </c>
      <c r="K108" s="387" t="n">
        <f aca="false">K107-I108-L108-M108</f>
        <v>0</v>
      </c>
      <c r="L108" s="388"/>
      <c r="M108" s="402"/>
      <c r="N108" s="409"/>
      <c r="O108" s="409"/>
      <c r="P108" s="391" t="n">
        <f aca="false">IF(ISBLANK(L107),VALUE(P107),ROW(L107))</f>
        <v>10</v>
      </c>
      <c r="Q108" s="314" t="n">
        <f aca="false">Q107+P107-P108</f>
        <v>12</v>
      </c>
      <c r="R108" s="314" t="n">
        <f aca="false">INDEX(G:G,P108,1)</f>
        <v>69000</v>
      </c>
      <c r="S108" s="312"/>
    </row>
    <row r="109" s="379" customFormat="true" ht="14.9" hidden="false" customHeight="false" outlineLevel="0" collapsed="false">
      <c r="A109" s="380" t="n">
        <v>99</v>
      </c>
      <c r="B109" s="381" t="str">
        <f aca="false">CONCATENATE(INT((A109-1)/12)+1,"-й год ",A109-1-INT((A109-1)/12)*12+1,"-й мес")</f>
        <v>9-й год 3-й мес</v>
      </c>
      <c r="C109" s="382" t="n">
        <f aca="false">DATE(YEAR(C108),MONTH(C108)+1,DAY(C108))</f>
        <v>46874</v>
      </c>
      <c r="D109" s="383" t="n">
        <f aca="false">IFERROR(IF(R109*$D$4/100/12/(1-(1+$D$4/100/12)^(-Q109))&lt;G108,ROUNDUP(R109*$D$4/100/12/(1-(1+$D$4/100/12)^(-Q109)),0),G108+F109),0)</f>
        <v>0</v>
      </c>
      <c r="E109" s="384" t="n">
        <f aca="false">D109-F109</f>
        <v>0</v>
      </c>
      <c r="F109" s="384" t="n">
        <f aca="false">G108*$D$4*(C109-C108)/(DATE(YEAR(C109)+1,1,1)-DATE(YEAR(C109),1,1))/100</f>
        <v>0</v>
      </c>
      <c r="G109" s="385" t="n">
        <f aca="false">G108-E109-L109-M109</f>
        <v>0</v>
      </c>
      <c r="H109" s="386" t="n">
        <f aca="false">IFERROR(I109+J109,0)</f>
        <v>0</v>
      </c>
      <c r="I109" s="384" t="n">
        <f aca="false">IFERROR(IF($D$3/$D$5&lt;K108,$D$3/$D$5,K108),0)</f>
        <v>0</v>
      </c>
      <c r="J109" s="384" t="n">
        <f aca="false">K108*$D$4/12/100</f>
        <v>0</v>
      </c>
      <c r="K109" s="387" t="n">
        <f aca="false">K108-I109-L109-M109</f>
        <v>0</v>
      </c>
      <c r="L109" s="388"/>
      <c r="M109" s="402"/>
      <c r="N109" s="409"/>
      <c r="O109" s="409"/>
      <c r="P109" s="391" t="n">
        <f aca="false">IF(ISBLANK(L108),VALUE(P108),ROW(L108))</f>
        <v>10</v>
      </c>
      <c r="Q109" s="314" t="n">
        <f aca="false">Q108+P108-P109</f>
        <v>12</v>
      </c>
      <c r="R109" s="314" t="n">
        <f aca="false">INDEX(G:G,P109,1)</f>
        <v>69000</v>
      </c>
      <c r="S109" s="312"/>
    </row>
    <row r="110" s="379" customFormat="true" ht="14.9" hidden="false" customHeight="false" outlineLevel="0" collapsed="false">
      <c r="A110" s="380" t="n">
        <v>100</v>
      </c>
      <c r="B110" s="381" t="str">
        <f aca="false">CONCATENATE(INT((A110-1)/12)+1,"-й год ",A110-1-INT((A110-1)/12)*12+1,"-й мес")</f>
        <v>9-й год 4-й мес</v>
      </c>
      <c r="C110" s="382" t="n">
        <f aca="false">DATE(YEAR(C109),MONTH(C109)+1,DAY(C109))</f>
        <v>46905</v>
      </c>
      <c r="D110" s="383" t="n">
        <f aca="false">IFERROR(IF(R110*$D$4/100/12/(1-(1+$D$4/100/12)^(-Q110))&lt;G109,ROUNDUP(R110*$D$4/100/12/(1-(1+$D$4/100/12)^(-Q110)),0),G109+F110),0)</f>
        <v>0</v>
      </c>
      <c r="E110" s="384" t="n">
        <f aca="false">D110-F110</f>
        <v>0</v>
      </c>
      <c r="F110" s="384" t="n">
        <f aca="false">G109*$D$4*(C110-C109)/(DATE(YEAR(C110)+1,1,1)-DATE(YEAR(C110),1,1))/100</f>
        <v>0</v>
      </c>
      <c r="G110" s="385" t="n">
        <f aca="false">G109-E110-L110-M110</f>
        <v>0</v>
      </c>
      <c r="H110" s="386" t="n">
        <f aca="false">IFERROR(I110+J110,0)</f>
        <v>0</v>
      </c>
      <c r="I110" s="384" t="n">
        <f aca="false">IFERROR(IF($D$3/$D$5&lt;K109,$D$3/$D$5,K109),0)</f>
        <v>0</v>
      </c>
      <c r="J110" s="384" t="n">
        <f aca="false">K109*$D$4/12/100</f>
        <v>0</v>
      </c>
      <c r="K110" s="387" t="n">
        <f aca="false">K109-I110-L110-M110</f>
        <v>0</v>
      </c>
      <c r="L110" s="388"/>
      <c r="M110" s="402"/>
      <c r="N110" s="409"/>
      <c r="O110" s="409"/>
      <c r="P110" s="391" t="n">
        <f aca="false">IF(ISBLANK(L109),VALUE(P109),ROW(L109))</f>
        <v>10</v>
      </c>
      <c r="Q110" s="314" t="n">
        <f aca="false">Q109+P109-P110</f>
        <v>12</v>
      </c>
      <c r="R110" s="314" t="n">
        <f aca="false">INDEX(G:G,P110,1)</f>
        <v>69000</v>
      </c>
      <c r="S110" s="312"/>
    </row>
    <row r="111" s="379" customFormat="true" ht="14.9" hidden="false" customHeight="false" outlineLevel="0" collapsed="false">
      <c r="A111" s="380" t="n">
        <v>101</v>
      </c>
      <c r="B111" s="381" t="str">
        <f aca="false">CONCATENATE(INT((A111-1)/12)+1,"-й год ",A111-1-INT((A111-1)/12)*12+1,"-й мес")</f>
        <v>9-й год 5-й мес</v>
      </c>
      <c r="C111" s="382" t="n">
        <f aca="false">DATE(YEAR(C110),MONTH(C110)+1,DAY(C110))</f>
        <v>46935</v>
      </c>
      <c r="D111" s="383" t="n">
        <f aca="false">IFERROR(IF(R111*$D$4/100/12/(1-(1+$D$4/100/12)^(-Q111))&lt;G110,ROUNDUP(R111*$D$4/100/12/(1-(1+$D$4/100/12)^(-Q111)),0),G110+F111),0)</f>
        <v>0</v>
      </c>
      <c r="E111" s="384" t="n">
        <f aca="false">D111-F111</f>
        <v>0</v>
      </c>
      <c r="F111" s="384" t="n">
        <f aca="false">G110*$D$4*(C111-C110)/(DATE(YEAR(C111)+1,1,1)-DATE(YEAR(C111),1,1))/100</f>
        <v>0</v>
      </c>
      <c r="G111" s="385" t="n">
        <f aca="false">G110-E111-L111-M111</f>
        <v>0</v>
      </c>
      <c r="H111" s="386" t="n">
        <f aca="false">IFERROR(I111+J111,0)</f>
        <v>0</v>
      </c>
      <c r="I111" s="384" t="n">
        <f aca="false">IFERROR(IF($D$3/$D$5&lt;K110,$D$3/$D$5,K110),0)</f>
        <v>0</v>
      </c>
      <c r="J111" s="384" t="n">
        <f aca="false">K110*$D$4/12/100</f>
        <v>0</v>
      </c>
      <c r="K111" s="387" t="n">
        <f aca="false">K110-I111-L111-M111</f>
        <v>0</v>
      </c>
      <c r="L111" s="388"/>
      <c r="M111" s="402"/>
      <c r="N111" s="409"/>
      <c r="O111" s="409"/>
      <c r="P111" s="391" t="n">
        <f aca="false">IF(ISBLANK(L110),VALUE(P110),ROW(L110))</f>
        <v>10</v>
      </c>
      <c r="Q111" s="314" t="n">
        <f aca="false">Q110+P110-P111</f>
        <v>12</v>
      </c>
      <c r="R111" s="314" t="n">
        <f aca="false">INDEX(G:G,P111,1)</f>
        <v>69000</v>
      </c>
      <c r="S111" s="312"/>
    </row>
    <row r="112" s="379" customFormat="true" ht="14.9" hidden="false" customHeight="false" outlineLevel="0" collapsed="false">
      <c r="A112" s="380" t="n">
        <v>102</v>
      </c>
      <c r="B112" s="381" t="str">
        <f aca="false">CONCATENATE(INT((A112-1)/12)+1,"-й год ",A112-1-INT((A112-1)/12)*12+1,"-й мес")</f>
        <v>9-й год 6-й мес</v>
      </c>
      <c r="C112" s="382" t="n">
        <f aca="false">DATE(YEAR(C111),MONTH(C111)+1,DAY(C111))</f>
        <v>46966</v>
      </c>
      <c r="D112" s="383" t="n">
        <f aca="false">IFERROR(IF(R112*$D$4/100/12/(1-(1+$D$4/100/12)^(-Q112))&lt;G111,ROUNDUP(R112*$D$4/100/12/(1-(1+$D$4/100/12)^(-Q112)),0),G111+F112),0)</f>
        <v>0</v>
      </c>
      <c r="E112" s="384" t="n">
        <f aca="false">D112-F112</f>
        <v>0</v>
      </c>
      <c r="F112" s="384" t="n">
        <f aca="false">G111*$D$4*(C112-C111)/(DATE(YEAR(C112)+1,1,1)-DATE(YEAR(C112),1,1))/100</f>
        <v>0</v>
      </c>
      <c r="G112" s="385" t="n">
        <f aca="false">G111-E112-L112-M112</f>
        <v>0</v>
      </c>
      <c r="H112" s="386" t="n">
        <f aca="false">IFERROR(I112+J112,0)</f>
        <v>0</v>
      </c>
      <c r="I112" s="384" t="n">
        <f aca="false">IFERROR(IF($D$3/$D$5&lt;K111,$D$3/$D$5,K111),0)</f>
        <v>0</v>
      </c>
      <c r="J112" s="384" t="n">
        <f aca="false">K111*$D$4/12/100</f>
        <v>0</v>
      </c>
      <c r="K112" s="387" t="n">
        <f aca="false">K111-I112-L112-M112</f>
        <v>0</v>
      </c>
      <c r="L112" s="388"/>
      <c r="M112" s="402"/>
      <c r="N112" s="409"/>
      <c r="O112" s="409"/>
      <c r="P112" s="391" t="n">
        <f aca="false">IF(ISBLANK(L111),VALUE(P111),ROW(L111))</f>
        <v>10</v>
      </c>
      <c r="Q112" s="314" t="n">
        <f aca="false">Q111+P111-P112</f>
        <v>12</v>
      </c>
      <c r="R112" s="314" t="n">
        <f aca="false">INDEX(G:G,P112,1)</f>
        <v>69000</v>
      </c>
      <c r="S112" s="312"/>
    </row>
    <row r="113" s="379" customFormat="true" ht="14.9" hidden="false" customHeight="false" outlineLevel="0" collapsed="false">
      <c r="A113" s="380" t="n">
        <v>103</v>
      </c>
      <c r="B113" s="381" t="str">
        <f aca="false">CONCATENATE(INT((A113-1)/12)+1,"-й год ",A113-1-INT((A113-1)/12)*12+1,"-й мес")</f>
        <v>9-й год 7-й мес</v>
      </c>
      <c r="C113" s="382" t="n">
        <f aca="false">DATE(YEAR(C112),MONTH(C112)+1,DAY(C112))</f>
        <v>46997</v>
      </c>
      <c r="D113" s="383" t="n">
        <f aca="false">IFERROR(IF(R113*$D$4/100/12/(1-(1+$D$4/100/12)^(-Q113))&lt;G112,ROUNDUP(R113*$D$4/100/12/(1-(1+$D$4/100/12)^(-Q113)),0),G112+F113),0)</f>
        <v>0</v>
      </c>
      <c r="E113" s="384" t="n">
        <f aca="false">D113-F113</f>
        <v>0</v>
      </c>
      <c r="F113" s="384" t="n">
        <f aca="false">G112*$D$4*(C113-C112)/(DATE(YEAR(C113)+1,1,1)-DATE(YEAR(C113),1,1))/100</f>
        <v>0</v>
      </c>
      <c r="G113" s="385" t="n">
        <f aca="false">G112-E113-L113-M113</f>
        <v>0</v>
      </c>
      <c r="H113" s="386" t="n">
        <f aca="false">IFERROR(I113+J113,0)</f>
        <v>0</v>
      </c>
      <c r="I113" s="384" t="n">
        <f aca="false">IFERROR(IF($D$3/$D$5&lt;K112,$D$3/$D$5,K112),0)</f>
        <v>0</v>
      </c>
      <c r="J113" s="384" t="n">
        <f aca="false">K112*$D$4/12/100</f>
        <v>0</v>
      </c>
      <c r="K113" s="387" t="n">
        <f aca="false">K112-I113-L113-M113</f>
        <v>0</v>
      </c>
      <c r="L113" s="388"/>
      <c r="M113" s="402"/>
      <c r="N113" s="409"/>
      <c r="O113" s="409"/>
      <c r="P113" s="391" t="n">
        <f aca="false">IF(ISBLANK(L112),VALUE(P112),ROW(L112))</f>
        <v>10</v>
      </c>
      <c r="Q113" s="314" t="n">
        <f aca="false">Q112+P112-P113</f>
        <v>12</v>
      </c>
      <c r="R113" s="314" t="n">
        <f aca="false">INDEX(G:G,P113,1)</f>
        <v>69000</v>
      </c>
      <c r="S113" s="312"/>
    </row>
    <row r="114" s="379" customFormat="true" ht="14.9" hidden="false" customHeight="false" outlineLevel="0" collapsed="false">
      <c r="A114" s="380" t="n">
        <v>104</v>
      </c>
      <c r="B114" s="381" t="str">
        <f aca="false">CONCATENATE(INT((A114-1)/12)+1,"-й год ",A114-1-INT((A114-1)/12)*12+1,"-й мес")</f>
        <v>9-й год 8-й мес</v>
      </c>
      <c r="C114" s="382" t="n">
        <f aca="false">DATE(YEAR(C113),MONTH(C113)+1,DAY(C113))</f>
        <v>47027</v>
      </c>
      <c r="D114" s="383" t="n">
        <f aca="false">IFERROR(IF(R114*$D$4/100/12/(1-(1+$D$4/100/12)^(-Q114))&lt;G113,ROUNDUP(R114*$D$4/100/12/(1-(1+$D$4/100/12)^(-Q114)),0),G113+F114),0)</f>
        <v>0</v>
      </c>
      <c r="E114" s="384" t="n">
        <f aca="false">D114-F114</f>
        <v>0</v>
      </c>
      <c r="F114" s="384" t="n">
        <f aca="false">G113*$D$4*(C114-C113)/(DATE(YEAR(C114)+1,1,1)-DATE(YEAR(C114),1,1))/100</f>
        <v>0</v>
      </c>
      <c r="G114" s="385" t="n">
        <f aca="false">G113-E114-L114-M114</f>
        <v>0</v>
      </c>
      <c r="H114" s="386" t="n">
        <f aca="false">IFERROR(I114+J114,0)</f>
        <v>0</v>
      </c>
      <c r="I114" s="384" t="n">
        <f aca="false">IFERROR(IF($D$3/$D$5&lt;K113,$D$3/$D$5,K113),0)</f>
        <v>0</v>
      </c>
      <c r="J114" s="384" t="n">
        <f aca="false">K113*$D$4/12/100</f>
        <v>0</v>
      </c>
      <c r="K114" s="387" t="n">
        <f aca="false">K113-I114-L114-M114</f>
        <v>0</v>
      </c>
      <c r="L114" s="388"/>
      <c r="M114" s="402"/>
      <c r="N114" s="409"/>
      <c r="O114" s="409"/>
      <c r="P114" s="391" t="n">
        <f aca="false">IF(ISBLANK(L113),VALUE(P113),ROW(L113))</f>
        <v>10</v>
      </c>
      <c r="Q114" s="314" t="n">
        <f aca="false">Q113+P113-P114</f>
        <v>12</v>
      </c>
      <c r="R114" s="314" t="n">
        <f aca="false">INDEX(G:G,P114,1)</f>
        <v>69000</v>
      </c>
      <c r="S114" s="312"/>
    </row>
    <row r="115" s="379" customFormat="true" ht="14.9" hidden="false" customHeight="false" outlineLevel="0" collapsed="false">
      <c r="A115" s="380" t="n">
        <v>105</v>
      </c>
      <c r="B115" s="381" t="str">
        <f aca="false">CONCATENATE(INT((A115-1)/12)+1,"-й год ",A115-1-INT((A115-1)/12)*12+1,"-й мес")</f>
        <v>9-й год 9-й мес</v>
      </c>
      <c r="C115" s="382" t="n">
        <f aca="false">DATE(YEAR(C114),MONTH(C114)+1,DAY(C114))</f>
        <v>47058</v>
      </c>
      <c r="D115" s="383" t="n">
        <f aca="false">IFERROR(IF(R115*$D$4/100/12/(1-(1+$D$4/100/12)^(-Q115))&lt;G114,ROUNDUP(R115*$D$4/100/12/(1-(1+$D$4/100/12)^(-Q115)),0),G114+F115),0)</f>
        <v>0</v>
      </c>
      <c r="E115" s="384" t="n">
        <f aca="false">D115-F115</f>
        <v>0</v>
      </c>
      <c r="F115" s="384" t="n">
        <f aca="false">G114*$D$4*(C115-C114)/(DATE(YEAR(C115)+1,1,1)-DATE(YEAR(C115),1,1))/100</f>
        <v>0</v>
      </c>
      <c r="G115" s="385" t="n">
        <f aca="false">G114-E115-L115-M115</f>
        <v>0</v>
      </c>
      <c r="H115" s="386" t="n">
        <f aca="false">IFERROR(I115+J115,0)</f>
        <v>0</v>
      </c>
      <c r="I115" s="384" t="n">
        <f aca="false">IFERROR(IF($D$3/$D$5&lt;K114,$D$3/$D$5,K114),0)</f>
        <v>0</v>
      </c>
      <c r="J115" s="384" t="n">
        <f aca="false">K114*$D$4/12/100</f>
        <v>0</v>
      </c>
      <c r="K115" s="387" t="n">
        <f aca="false">K114-I115-L115-M115</f>
        <v>0</v>
      </c>
      <c r="L115" s="388"/>
      <c r="M115" s="402"/>
      <c r="N115" s="409"/>
      <c r="O115" s="409"/>
      <c r="P115" s="391" t="n">
        <f aca="false">IF(ISBLANK(L114),VALUE(P114),ROW(L114))</f>
        <v>10</v>
      </c>
      <c r="Q115" s="314" t="n">
        <f aca="false">Q114+P114-P115</f>
        <v>12</v>
      </c>
      <c r="R115" s="314" t="n">
        <f aca="false">INDEX(G:G,P115,1)</f>
        <v>69000</v>
      </c>
      <c r="S115" s="312"/>
    </row>
    <row r="116" s="379" customFormat="true" ht="14.9" hidden="false" customHeight="false" outlineLevel="0" collapsed="false">
      <c r="A116" s="380" t="n">
        <v>106</v>
      </c>
      <c r="B116" s="381" t="str">
        <f aca="false">CONCATENATE(INT((A116-1)/12)+1,"-й год ",A116-1-INT((A116-1)/12)*12+1,"-й мес")</f>
        <v>9-й год 10-й мес</v>
      </c>
      <c r="C116" s="382" t="n">
        <f aca="false">DATE(YEAR(C115),MONTH(C115)+1,DAY(C115))</f>
        <v>47088</v>
      </c>
      <c r="D116" s="383" t="n">
        <f aca="false">IFERROR(IF(R116*$D$4/100/12/(1-(1+$D$4/100/12)^(-Q116))&lt;G115,ROUNDUP(R116*$D$4/100/12/(1-(1+$D$4/100/12)^(-Q116)),0),G115+F116),0)</f>
        <v>0</v>
      </c>
      <c r="E116" s="384" t="n">
        <f aca="false">D116-F116</f>
        <v>0</v>
      </c>
      <c r="F116" s="384" t="n">
        <f aca="false">G115*$D$4*(C116-C115)/(DATE(YEAR(C116)+1,1,1)-DATE(YEAR(C116),1,1))/100</f>
        <v>0</v>
      </c>
      <c r="G116" s="385" t="n">
        <f aca="false">G115-E116-L116-M116</f>
        <v>0</v>
      </c>
      <c r="H116" s="386" t="n">
        <f aca="false">IFERROR(I116+J116,0)</f>
        <v>0</v>
      </c>
      <c r="I116" s="384" t="n">
        <f aca="false">IFERROR(IF($D$3/$D$5&lt;K115,$D$3/$D$5,K115),0)</f>
        <v>0</v>
      </c>
      <c r="J116" s="384" t="n">
        <f aca="false">K115*$D$4/12/100</f>
        <v>0</v>
      </c>
      <c r="K116" s="387" t="n">
        <f aca="false">K115-I116-L116-M116</f>
        <v>0</v>
      </c>
      <c r="L116" s="388"/>
      <c r="M116" s="402"/>
      <c r="N116" s="409"/>
      <c r="O116" s="409"/>
      <c r="P116" s="391" t="n">
        <f aca="false">IF(ISBLANK(L115),VALUE(P115),ROW(L115))</f>
        <v>10</v>
      </c>
      <c r="Q116" s="314" t="n">
        <f aca="false">Q115+P115-P116</f>
        <v>12</v>
      </c>
      <c r="R116" s="314" t="n">
        <f aca="false">INDEX(G:G,P116,1)</f>
        <v>69000</v>
      </c>
      <c r="S116" s="312"/>
    </row>
    <row r="117" s="379" customFormat="true" ht="14.9" hidden="false" customHeight="false" outlineLevel="0" collapsed="false">
      <c r="A117" s="380" t="n">
        <v>107</v>
      </c>
      <c r="B117" s="381" t="str">
        <f aca="false">CONCATENATE(INT((A117-1)/12)+1,"-й год ",A117-1-INT((A117-1)/12)*12+1,"-й мес")</f>
        <v>9-й год 11-й мес</v>
      </c>
      <c r="C117" s="382" t="n">
        <f aca="false">DATE(YEAR(C116),MONTH(C116)+1,DAY(C116))</f>
        <v>47119</v>
      </c>
      <c r="D117" s="383" t="n">
        <f aca="false">IFERROR(IF(R117*$D$4/100/12/(1-(1+$D$4/100/12)^(-Q117))&lt;G116,ROUNDUP(R117*$D$4/100/12/(1-(1+$D$4/100/12)^(-Q117)),0),G116+F117),0)</f>
        <v>0</v>
      </c>
      <c r="E117" s="384" t="n">
        <f aca="false">D117-F117</f>
        <v>0</v>
      </c>
      <c r="F117" s="384" t="n">
        <f aca="false">G116*$D$4*(C117-C116)/(DATE(YEAR(C117)+1,1,1)-DATE(YEAR(C117),1,1))/100</f>
        <v>0</v>
      </c>
      <c r="G117" s="385" t="n">
        <f aca="false">G116-E117-L117-M117</f>
        <v>0</v>
      </c>
      <c r="H117" s="386" t="n">
        <f aca="false">IFERROR(I117+J117,0)</f>
        <v>0</v>
      </c>
      <c r="I117" s="384" t="n">
        <f aca="false">IFERROR(IF($D$3/$D$5&lt;K116,$D$3/$D$5,K116),0)</f>
        <v>0</v>
      </c>
      <c r="J117" s="384" t="n">
        <f aca="false">K116*$D$4/12/100</f>
        <v>0</v>
      </c>
      <c r="K117" s="387" t="n">
        <f aca="false">K116-I117-L117-M117</f>
        <v>0</v>
      </c>
      <c r="L117" s="388"/>
      <c r="M117" s="402"/>
      <c r="N117" s="409"/>
      <c r="O117" s="409"/>
      <c r="P117" s="391" t="n">
        <f aca="false">IF(ISBLANK(L116),VALUE(P116),ROW(L116))</f>
        <v>10</v>
      </c>
      <c r="Q117" s="314" t="n">
        <f aca="false">Q116+P116-P117</f>
        <v>12</v>
      </c>
      <c r="R117" s="314" t="n">
        <f aca="false">INDEX(G:G,P117,1)</f>
        <v>69000</v>
      </c>
      <c r="S117" s="312"/>
    </row>
    <row r="118" s="379" customFormat="true" ht="14.9" hidden="false" customHeight="false" outlineLevel="0" collapsed="false">
      <c r="A118" s="380" t="n">
        <v>108</v>
      </c>
      <c r="B118" s="392" t="str">
        <f aca="false">CONCATENATE(INT((A118-1)/12)+1,"-й год ",A118-1-INT((A118-1)/12)*12+1,"-й мес")</f>
        <v>9-й год 12-й мес</v>
      </c>
      <c r="C118" s="393" t="n">
        <f aca="false">DATE(YEAR(C117),MONTH(C117)+1,DAY(C117))</f>
        <v>47150</v>
      </c>
      <c r="D118" s="394" t="n">
        <f aca="false">IFERROR(IF(R118*$D$4/100/12/(1-(1+$D$4/100/12)^(-Q118))&lt;G117,ROUNDUP(R118*$D$4/100/12/(1-(1+$D$4/100/12)^(-Q118)),0),G117+F118),0)</f>
        <v>0</v>
      </c>
      <c r="E118" s="395" t="n">
        <f aca="false">D118-F118</f>
        <v>0</v>
      </c>
      <c r="F118" s="395" t="n">
        <f aca="false">G117*$D$4*(C118-C117)/(DATE(YEAR(C118)+1,1,1)-DATE(YEAR(C118),1,1))/100</f>
        <v>0</v>
      </c>
      <c r="G118" s="385" t="n">
        <f aca="false">G117-E118-L118-M118</f>
        <v>0</v>
      </c>
      <c r="H118" s="386" t="n">
        <f aca="false">IFERROR(I118+J118,0)</f>
        <v>0</v>
      </c>
      <c r="I118" s="384" t="n">
        <f aca="false">IFERROR(IF($D$3/$D$5&lt;K117,$D$3/$D$5,K117),0)</f>
        <v>0</v>
      </c>
      <c r="J118" s="384" t="n">
        <f aca="false">K117*$D$4/12/100</f>
        <v>0</v>
      </c>
      <c r="K118" s="387" t="n">
        <f aca="false">K117-I118-L118-M118</f>
        <v>0</v>
      </c>
      <c r="L118" s="388"/>
      <c r="M118" s="402"/>
      <c r="N118" s="409"/>
      <c r="O118" s="409"/>
      <c r="P118" s="391" t="n">
        <f aca="false">IF(ISBLANK(L117),VALUE(P117),ROW(L117))</f>
        <v>10</v>
      </c>
      <c r="Q118" s="314" t="n">
        <f aca="false">Q117+P117-P118</f>
        <v>12</v>
      </c>
      <c r="R118" s="314" t="n">
        <f aca="false">INDEX(G:G,P118,1)</f>
        <v>69000</v>
      </c>
      <c r="S118" s="312"/>
    </row>
    <row r="119" s="379" customFormat="true" ht="14.9" hidden="false" customHeight="false" outlineLevel="0" collapsed="false">
      <c r="A119" s="396" t="n">
        <v>109</v>
      </c>
      <c r="B119" s="381" t="str">
        <f aca="false">CONCATENATE(INT((A119-1)/12)+1,"-й год ",A119-1-INT((A119-1)/12)*12+1,"-й мес")</f>
        <v>10-й год 1-й мес</v>
      </c>
      <c r="C119" s="382" t="n">
        <f aca="false">DATE(YEAR(C118),MONTH(C118)+1,DAY(C118))</f>
        <v>47178</v>
      </c>
      <c r="D119" s="383" t="n">
        <f aca="false">IFERROR(IF(R119*$D$4/100/12/(1-(1+$D$4/100/12)^(-Q119))&lt;G118,ROUNDUP(R119*$D$4/100/12/(1-(1+$D$4/100/12)^(-Q119)),0),G118+F119),0)</f>
        <v>0</v>
      </c>
      <c r="E119" s="384" t="n">
        <f aca="false">D119-F119</f>
        <v>0</v>
      </c>
      <c r="F119" s="384" t="n">
        <f aca="false">G118*$D$4*(C119-C118)/(DATE(YEAR(C119)+1,1,1)-DATE(YEAR(C119),1,1))/100</f>
        <v>0</v>
      </c>
      <c r="G119" s="397" t="n">
        <f aca="false">G118-E119-L119-M119</f>
        <v>0</v>
      </c>
      <c r="H119" s="398" t="n">
        <f aca="false">IFERROR(I119+J119,0)</f>
        <v>0</v>
      </c>
      <c r="I119" s="399" t="n">
        <f aca="false">IFERROR(IF($D$3/$D$5&lt;K118,$D$3/$D$5,K118),0)</f>
        <v>0</v>
      </c>
      <c r="J119" s="399" t="n">
        <f aca="false">K118*$D$4/12/100</f>
        <v>0</v>
      </c>
      <c r="K119" s="400" t="n">
        <f aca="false">K118-I119-L119-M119</f>
        <v>0</v>
      </c>
      <c r="L119" s="401"/>
      <c r="M119" s="402"/>
      <c r="N119" s="409"/>
      <c r="O119" s="409"/>
      <c r="P119" s="391" t="n">
        <f aca="false">IF(ISBLANK(L118),VALUE(P118),ROW(L118))</f>
        <v>10</v>
      </c>
      <c r="Q119" s="314" t="n">
        <f aca="false">Q118+P118-P119</f>
        <v>12</v>
      </c>
      <c r="R119" s="314" t="n">
        <f aca="false">INDEX(G:G,P119,1)</f>
        <v>69000</v>
      </c>
      <c r="S119" s="312"/>
    </row>
    <row r="120" s="379" customFormat="true" ht="14.9" hidden="false" customHeight="false" outlineLevel="0" collapsed="false">
      <c r="A120" s="403" t="n">
        <v>110</v>
      </c>
      <c r="B120" s="381" t="str">
        <f aca="false">CONCATENATE(INT((A120-1)/12)+1,"-й год ",A120-1-INT((A120-1)/12)*12+1,"-й мес")</f>
        <v>10-й год 2-й мес</v>
      </c>
      <c r="C120" s="382" t="n">
        <f aca="false">DATE(YEAR(C119),MONTH(C119)+1,DAY(C119))</f>
        <v>47209</v>
      </c>
      <c r="D120" s="383" t="n">
        <f aca="false">IFERROR(IF(R120*$D$4/100/12/(1-(1+$D$4/100/12)^(-Q120))&lt;G119,ROUNDUP(R120*$D$4/100/12/(1-(1+$D$4/100/12)^(-Q120)),0),G119+F120),0)</f>
        <v>0</v>
      </c>
      <c r="E120" s="384" t="n">
        <f aca="false">D120-F120</f>
        <v>0</v>
      </c>
      <c r="F120" s="384" t="n">
        <f aca="false">G119*$D$4*(C120-C119)/(DATE(YEAR(C120)+1,1,1)-DATE(YEAR(C120),1,1))/100</f>
        <v>0</v>
      </c>
      <c r="G120" s="385" t="n">
        <f aca="false">G119-E120-L120-M120</f>
        <v>0</v>
      </c>
      <c r="H120" s="386" t="n">
        <f aca="false">IFERROR(I120+J120,0)</f>
        <v>0</v>
      </c>
      <c r="I120" s="384" t="n">
        <f aca="false">IFERROR(IF($D$3/$D$5&lt;K119,$D$3/$D$5,K119),0)</f>
        <v>0</v>
      </c>
      <c r="J120" s="384" t="n">
        <f aca="false">K119*$D$4/12/100</f>
        <v>0</v>
      </c>
      <c r="K120" s="387" t="n">
        <f aca="false">K119-I120-L120-M120</f>
        <v>0</v>
      </c>
      <c r="L120" s="388"/>
      <c r="M120" s="402"/>
      <c r="N120" s="409"/>
      <c r="O120" s="409"/>
      <c r="P120" s="391" t="n">
        <f aca="false">IF(ISBLANK(L119),VALUE(P119),ROW(L119))</f>
        <v>10</v>
      </c>
      <c r="Q120" s="314" t="n">
        <f aca="false">Q119+P119-P120</f>
        <v>12</v>
      </c>
      <c r="R120" s="314" t="n">
        <f aca="false">INDEX(G:G,P120,1)</f>
        <v>69000</v>
      </c>
      <c r="S120" s="312"/>
    </row>
    <row r="121" s="379" customFormat="true" ht="14.9" hidden="false" customHeight="false" outlineLevel="0" collapsed="false">
      <c r="A121" s="403" t="n">
        <v>111</v>
      </c>
      <c r="B121" s="381" t="str">
        <f aca="false">CONCATENATE(INT((A121-1)/12)+1,"-й год ",A121-1-INT((A121-1)/12)*12+1,"-й мес")</f>
        <v>10-й год 3-й мес</v>
      </c>
      <c r="C121" s="382" t="n">
        <f aca="false">DATE(YEAR(C120),MONTH(C120)+1,DAY(C120))</f>
        <v>47239</v>
      </c>
      <c r="D121" s="383" t="n">
        <f aca="false">IFERROR(IF(R121*$D$4/100/12/(1-(1+$D$4/100/12)^(-Q121))&lt;G120,ROUNDUP(R121*$D$4/100/12/(1-(1+$D$4/100/12)^(-Q121)),0),G120+F121),0)</f>
        <v>0</v>
      </c>
      <c r="E121" s="384" t="n">
        <f aca="false">D121-F121</f>
        <v>0</v>
      </c>
      <c r="F121" s="384" t="n">
        <f aca="false">G120*$D$4*(C121-C120)/(DATE(YEAR(C121)+1,1,1)-DATE(YEAR(C121),1,1))/100</f>
        <v>0</v>
      </c>
      <c r="G121" s="385" t="n">
        <f aca="false">G120-E121-L121-M121</f>
        <v>0</v>
      </c>
      <c r="H121" s="386" t="n">
        <f aca="false">IFERROR(I121+J121,0)</f>
        <v>0</v>
      </c>
      <c r="I121" s="384" t="n">
        <f aca="false">IFERROR(IF($D$3/$D$5&lt;K120,$D$3/$D$5,K120),0)</f>
        <v>0</v>
      </c>
      <c r="J121" s="384" t="n">
        <f aca="false">K120*$D$4/12/100</f>
        <v>0</v>
      </c>
      <c r="K121" s="387" t="n">
        <f aca="false">K120-I121-L121-M121</f>
        <v>0</v>
      </c>
      <c r="L121" s="388"/>
      <c r="M121" s="402"/>
      <c r="N121" s="409"/>
      <c r="O121" s="409"/>
      <c r="P121" s="391" t="n">
        <f aca="false">IF(ISBLANK(L120),VALUE(P120),ROW(L120))</f>
        <v>10</v>
      </c>
      <c r="Q121" s="314" t="n">
        <f aca="false">Q120+P120-P121</f>
        <v>12</v>
      </c>
      <c r="R121" s="314" t="n">
        <f aca="false">INDEX(G:G,P121,1)</f>
        <v>69000</v>
      </c>
      <c r="S121" s="312"/>
    </row>
    <row r="122" s="379" customFormat="true" ht="14.9" hidden="false" customHeight="false" outlineLevel="0" collapsed="false">
      <c r="A122" s="403" t="n">
        <v>112</v>
      </c>
      <c r="B122" s="381" t="str">
        <f aca="false">CONCATENATE(INT((A122-1)/12)+1,"-й год ",A122-1-INT((A122-1)/12)*12+1,"-й мес")</f>
        <v>10-й год 4-й мес</v>
      </c>
      <c r="C122" s="382" t="n">
        <f aca="false">DATE(YEAR(C121),MONTH(C121)+1,DAY(C121))</f>
        <v>47270</v>
      </c>
      <c r="D122" s="383" t="n">
        <f aca="false">IFERROR(IF(R122*$D$4/100/12/(1-(1+$D$4/100/12)^(-Q122))&lt;G121,ROUNDUP(R122*$D$4/100/12/(1-(1+$D$4/100/12)^(-Q122)),0),G121+F122),0)</f>
        <v>0</v>
      </c>
      <c r="E122" s="384" t="n">
        <f aca="false">D122-F122</f>
        <v>0</v>
      </c>
      <c r="F122" s="384" t="n">
        <f aca="false">G121*$D$4*(C122-C121)/(DATE(YEAR(C122)+1,1,1)-DATE(YEAR(C122),1,1))/100</f>
        <v>0</v>
      </c>
      <c r="G122" s="385" t="n">
        <f aca="false">G121-E122-L122-M122</f>
        <v>0</v>
      </c>
      <c r="H122" s="386" t="n">
        <f aca="false">IFERROR(I122+J122,0)</f>
        <v>0</v>
      </c>
      <c r="I122" s="384" t="n">
        <f aca="false">IFERROR(IF($D$3/$D$5&lt;K121,$D$3/$D$5,K121),0)</f>
        <v>0</v>
      </c>
      <c r="J122" s="384" t="n">
        <f aca="false">K121*$D$4/12/100</f>
        <v>0</v>
      </c>
      <c r="K122" s="387" t="n">
        <f aca="false">K121-I122-L122-M122</f>
        <v>0</v>
      </c>
      <c r="L122" s="388"/>
      <c r="M122" s="402"/>
      <c r="N122" s="409"/>
      <c r="O122" s="409"/>
      <c r="P122" s="391" t="n">
        <f aca="false">IF(ISBLANK(L121),VALUE(P121),ROW(L121))</f>
        <v>10</v>
      </c>
      <c r="Q122" s="314" t="n">
        <f aca="false">Q121+P121-P122</f>
        <v>12</v>
      </c>
      <c r="R122" s="314" t="n">
        <f aca="false">INDEX(G:G,P122,1)</f>
        <v>69000</v>
      </c>
      <c r="S122" s="312"/>
    </row>
    <row r="123" s="379" customFormat="true" ht="14.9" hidden="false" customHeight="false" outlineLevel="0" collapsed="false">
      <c r="A123" s="403" t="n">
        <v>113</v>
      </c>
      <c r="B123" s="381" t="str">
        <f aca="false">CONCATENATE(INT((A123-1)/12)+1,"-й год ",A123-1-INT((A123-1)/12)*12+1,"-й мес")</f>
        <v>10-й год 5-й мес</v>
      </c>
      <c r="C123" s="382" t="n">
        <f aca="false">DATE(YEAR(C122),MONTH(C122)+1,DAY(C122))</f>
        <v>47300</v>
      </c>
      <c r="D123" s="383" t="n">
        <f aca="false">IFERROR(IF(R123*$D$4/100/12/(1-(1+$D$4/100/12)^(-Q123))&lt;G122,ROUNDUP(R123*$D$4/100/12/(1-(1+$D$4/100/12)^(-Q123)),0),G122+F123),0)</f>
        <v>0</v>
      </c>
      <c r="E123" s="384" t="n">
        <f aca="false">D123-F123</f>
        <v>0</v>
      </c>
      <c r="F123" s="384" t="n">
        <f aca="false">G122*$D$4*(C123-C122)/(DATE(YEAR(C123)+1,1,1)-DATE(YEAR(C123),1,1))/100</f>
        <v>0</v>
      </c>
      <c r="G123" s="385" t="n">
        <f aca="false">G122-E123-L123-M123</f>
        <v>0</v>
      </c>
      <c r="H123" s="386" t="n">
        <f aca="false">IFERROR(I123+J123,0)</f>
        <v>0</v>
      </c>
      <c r="I123" s="384" t="n">
        <f aca="false">IFERROR(IF($D$3/$D$5&lt;K122,$D$3/$D$5,K122),0)</f>
        <v>0</v>
      </c>
      <c r="J123" s="384" t="n">
        <f aca="false">K122*$D$4/12/100</f>
        <v>0</v>
      </c>
      <c r="K123" s="387" t="n">
        <f aca="false">K122-I123-L123-M123</f>
        <v>0</v>
      </c>
      <c r="L123" s="388"/>
      <c r="M123" s="402"/>
      <c r="N123" s="409"/>
      <c r="O123" s="409"/>
      <c r="P123" s="391" t="n">
        <f aca="false">IF(ISBLANK(L122),VALUE(P122),ROW(L122))</f>
        <v>10</v>
      </c>
      <c r="Q123" s="314" t="n">
        <f aca="false">Q122+P122-P123</f>
        <v>12</v>
      </c>
      <c r="R123" s="314" t="n">
        <f aca="false">INDEX(G:G,P123,1)</f>
        <v>69000</v>
      </c>
      <c r="S123" s="312"/>
    </row>
    <row r="124" s="379" customFormat="true" ht="14.9" hidden="false" customHeight="false" outlineLevel="0" collapsed="false">
      <c r="A124" s="403" t="n">
        <v>114</v>
      </c>
      <c r="B124" s="381" t="str">
        <f aca="false">CONCATENATE(INT((A124-1)/12)+1,"-й год ",A124-1-INT((A124-1)/12)*12+1,"-й мес")</f>
        <v>10-й год 6-й мес</v>
      </c>
      <c r="C124" s="382" t="n">
        <f aca="false">DATE(YEAR(C123),MONTH(C123)+1,DAY(C123))</f>
        <v>47331</v>
      </c>
      <c r="D124" s="383" t="n">
        <f aca="false">IFERROR(IF(R124*$D$4/100/12/(1-(1+$D$4/100/12)^(-Q124))&lt;G123,ROUNDUP(R124*$D$4/100/12/(1-(1+$D$4/100/12)^(-Q124)),0),G123+F124),0)</f>
        <v>0</v>
      </c>
      <c r="E124" s="384" t="n">
        <f aca="false">D124-F124</f>
        <v>0</v>
      </c>
      <c r="F124" s="384" t="n">
        <f aca="false">G123*$D$4*(C124-C123)/(DATE(YEAR(C124)+1,1,1)-DATE(YEAR(C124),1,1))/100</f>
        <v>0</v>
      </c>
      <c r="G124" s="385" t="n">
        <f aca="false">G123-E124-L124-M124</f>
        <v>0</v>
      </c>
      <c r="H124" s="386" t="n">
        <f aca="false">IFERROR(I124+J124,0)</f>
        <v>0</v>
      </c>
      <c r="I124" s="384" t="n">
        <f aca="false">IFERROR(IF($D$3/$D$5&lt;K123,$D$3/$D$5,K123),0)</f>
        <v>0</v>
      </c>
      <c r="J124" s="384" t="n">
        <f aca="false">K123*$D$4/12/100</f>
        <v>0</v>
      </c>
      <c r="K124" s="387" t="n">
        <f aca="false">K123-I124-L124-M124</f>
        <v>0</v>
      </c>
      <c r="L124" s="388"/>
      <c r="M124" s="402"/>
      <c r="N124" s="409"/>
      <c r="O124" s="409"/>
      <c r="P124" s="391" t="n">
        <f aca="false">IF(ISBLANK(L123),VALUE(P123),ROW(L123))</f>
        <v>10</v>
      </c>
      <c r="Q124" s="314" t="n">
        <f aca="false">Q123+P123-P124</f>
        <v>12</v>
      </c>
      <c r="R124" s="314" t="n">
        <f aca="false">INDEX(G:G,P124,1)</f>
        <v>69000</v>
      </c>
      <c r="S124" s="312"/>
    </row>
    <row r="125" s="379" customFormat="true" ht="14.9" hidden="false" customHeight="false" outlineLevel="0" collapsed="false">
      <c r="A125" s="403" t="n">
        <v>115</v>
      </c>
      <c r="B125" s="381" t="str">
        <f aca="false">CONCATENATE(INT((A125-1)/12)+1,"-й год ",A125-1-INT((A125-1)/12)*12+1,"-й мес")</f>
        <v>10-й год 7-й мес</v>
      </c>
      <c r="C125" s="382" t="n">
        <f aca="false">DATE(YEAR(C124),MONTH(C124)+1,DAY(C124))</f>
        <v>47362</v>
      </c>
      <c r="D125" s="383" t="n">
        <f aca="false">IFERROR(IF(R125*$D$4/100/12/(1-(1+$D$4/100/12)^(-Q125))&lt;G124,ROUNDUP(R125*$D$4/100/12/(1-(1+$D$4/100/12)^(-Q125)),0),G124+F125),0)</f>
        <v>0</v>
      </c>
      <c r="E125" s="384" t="n">
        <f aca="false">D125-F125</f>
        <v>0</v>
      </c>
      <c r="F125" s="384" t="n">
        <f aca="false">G124*$D$4*(C125-C124)/(DATE(YEAR(C125)+1,1,1)-DATE(YEAR(C125),1,1))/100</f>
        <v>0</v>
      </c>
      <c r="G125" s="385" t="n">
        <f aca="false">G124-E125-L125-M125</f>
        <v>0</v>
      </c>
      <c r="H125" s="386" t="n">
        <f aca="false">IFERROR(I125+J125,0)</f>
        <v>0</v>
      </c>
      <c r="I125" s="384" t="n">
        <f aca="false">IFERROR(IF($D$3/$D$5&lt;K124,$D$3/$D$5,K124),0)</f>
        <v>0</v>
      </c>
      <c r="J125" s="384" t="n">
        <f aca="false">K124*$D$4/12/100</f>
        <v>0</v>
      </c>
      <c r="K125" s="387" t="n">
        <f aca="false">K124-I125-L125-M125</f>
        <v>0</v>
      </c>
      <c r="L125" s="388"/>
      <c r="M125" s="402"/>
      <c r="N125" s="409"/>
      <c r="O125" s="409"/>
      <c r="P125" s="391" t="n">
        <f aca="false">IF(ISBLANK(L124),VALUE(P124),ROW(L124))</f>
        <v>10</v>
      </c>
      <c r="Q125" s="314" t="n">
        <f aca="false">Q124+P124-P125</f>
        <v>12</v>
      </c>
      <c r="R125" s="314" t="n">
        <f aca="false">INDEX(G:G,P125,1)</f>
        <v>69000</v>
      </c>
      <c r="S125" s="312"/>
    </row>
    <row r="126" s="379" customFormat="true" ht="14.9" hidden="false" customHeight="false" outlineLevel="0" collapsed="false">
      <c r="A126" s="403" t="n">
        <v>116</v>
      </c>
      <c r="B126" s="381" t="str">
        <f aca="false">CONCATENATE(INT((A126-1)/12)+1,"-й год ",A126-1-INT((A126-1)/12)*12+1,"-й мес")</f>
        <v>10-й год 8-й мес</v>
      </c>
      <c r="C126" s="382" t="n">
        <f aca="false">DATE(YEAR(C125),MONTH(C125)+1,DAY(C125))</f>
        <v>47392</v>
      </c>
      <c r="D126" s="383" t="n">
        <f aca="false">IFERROR(IF(R126*$D$4/100/12/(1-(1+$D$4/100/12)^(-Q126))&lt;G125,ROUNDUP(R126*$D$4/100/12/(1-(1+$D$4/100/12)^(-Q126)),0),G125+F126),0)</f>
        <v>0</v>
      </c>
      <c r="E126" s="384" t="n">
        <f aca="false">D126-F126</f>
        <v>0</v>
      </c>
      <c r="F126" s="384" t="n">
        <f aca="false">G125*$D$4*(C126-C125)/(DATE(YEAR(C126)+1,1,1)-DATE(YEAR(C126),1,1))/100</f>
        <v>0</v>
      </c>
      <c r="G126" s="385" t="n">
        <f aca="false">G125-E126-L126-M126</f>
        <v>0</v>
      </c>
      <c r="H126" s="386" t="n">
        <f aca="false">IFERROR(I126+J126,0)</f>
        <v>0</v>
      </c>
      <c r="I126" s="384" t="n">
        <f aca="false">IFERROR(IF($D$3/$D$5&lt;K125,$D$3/$D$5,K125),0)</f>
        <v>0</v>
      </c>
      <c r="J126" s="384" t="n">
        <f aca="false">K125*$D$4/12/100</f>
        <v>0</v>
      </c>
      <c r="K126" s="387" t="n">
        <f aca="false">K125-I126-L126-M126</f>
        <v>0</v>
      </c>
      <c r="L126" s="388"/>
      <c r="M126" s="402"/>
      <c r="N126" s="409"/>
      <c r="O126" s="409"/>
      <c r="P126" s="391" t="n">
        <f aca="false">IF(ISBLANK(L125),VALUE(P125),ROW(L125))</f>
        <v>10</v>
      </c>
      <c r="Q126" s="314" t="n">
        <f aca="false">Q125+P125-P126</f>
        <v>12</v>
      </c>
      <c r="R126" s="314" t="n">
        <f aca="false">INDEX(G:G,P126,1)</f>
        <v>69000</v>
      </c>
      <c r="S126" s="312"/>
    </row>
    <row r="127" s="379" customFormat="true" ht="14.9" hidden="false" customHeight="false" outlineLevel="0" collapsed="false">
      <c r="A127" s="403" t="n">
        <v>117</v>
      </c>
      <c r="B127" s="381" t="str">
        <f aca="false">CONCATENATE(INT((A127-1)/12)+1,"-й год ",A127-1-INT((A127-1)/12)*12+1,"-й мес")</f>
        <v>10-й год 9-й мес</v>
      </c>
      <c r="C127" s="382" t="n">
        <f aca="false">DATE(YEAR(C126),MONTH(C126)+1,DAY(C126))</f>
        <v>47423</v>
      </c>
      <c r="D127" s="383" t="n">
        <f aca="false">IFERROR(IF(R127*$D$4/100/12/(1-(1+$D$4/100/12)^(-Q127))&lt;G126,ROUNDUP(R127*$D$4/100/12/(1-(1+$D$4/100/12)^(-Q127)),0),G126+F127),0)</f>
        <v>0</v>
      </c>
      <c r="E127" s="384" t="n">
        <f aca="false">D127-F127</f>
        <v>0</v>
      </c>
      <c r="F127" s="384" t="n">
        <f aca="false">G126*$D$4*(C127-C126)/(DATE(YEAR(C127)+1,1,1)-DATE(YEAR(C127),1,1))/100</f>
        <v>0</v>
      </c>
      <c r="G127" s="385" t="n">
        <f aca="false">G126-E127-L127-M127</f>
        <v>0</v>
      </c>
      <c r="H127" s="386" t="n">
        <f aca="false">IFERROR(I127+J127,0)</f>
        <v>0</v>
      </c>
      <c r="I127" s="384" t="n">
        <f aca="false">IFERROR(IF($D$3/$D$5&lt;K126,$D$3/$D$5,K126),0)</f>
        <v>0</v>
      </c>
      <c r="J127" s="384" t="n">
        <f aca="false">K126*$D$4/12/100</f>
        <v>0</v>
      </c>
      <c r="K127" s="387" t="n">
        <f aca="false">K126-I127-L127-M127</f>
        <v>0</v>
      </c>
      <c r="L127" s="388"/>
      <c r="M127" s="402"/>
      <c r="N127" s="409"/>
      <c r="O127" s="409"/>
      <c r="P127" s="391" t="n">
        <f aca="false">IF(ISBLANK(L126),VALUE(P126),ROW(L126))</f>
        <v>10</v>
      </c>
      <c r="Q127" s="314" t="n">
        <f aca="false">Q126+P126-P127</f>
        <v>12</v>
      </c>
      <c r="R127" s="314" t="n">
        <f aca="false">INDEX(G:G,P127,1)</f>
        <v>69000</v>
      </c>
      <c r="S127" s="312"/>
    </row>
    <row r="128" s="379" customFormat="true" ht="14.9" hidden="false" customHeight="false" outlineLevel="0" collapsed="false">
      <c r="A128" s="403" t="n">
        <v>118</v>
      </c>
      <c r="B128" s="381" t="str">
        <f aca="false">CONCATENATE(INT((A128-1)/12)+1,"-й год ",A128-1-INT((A128-1)/12)*12+1,"-й мес")</f>
        <v>10-й год 10-й мес</v>
      </c>
      <c r="C128" s="382" t="n">
        <f aca="false">DATE(YEAR(C127),MONTH(C127)+1,DAY(C127))</f>
        <v>47453</v>
      </c>
      <c r="D128" s="383" t="n">
        <f aca="false">IFERROR(IF(R128*$D$4/100/12/(1-(1+$D$4/100/12)^(-Q128))&lt;G127,ROUNDUP(R128*$D$4/100/12/(1-(1+$D$4/100/12)^(-Q128)),0),G127+F128),0)</f>
        <v>0</v>
      </c>
      <c r="E128" s="384" t="n">
        <f aca="false">D128-F128</f>
        <v>0</v>
      </c>
      <c r="F128" s="384" t="n">
        <f aca="false">G127*$D$4*(C128-C127)/(DATE(YEAR(C128)+1,1,1)-DATE(YEAR(C128),1,1))/100</f>
        <v>0</v>
      </c>
      <c r="G128" s="385" t="n">
        <f aca="false">G127-E128-L128-M128</f>
        <v>0</v>
      </c>
      <c r="H128" s="386" t="n">
        <f aca="false">IFERROR(I128+J128,0)</f>
        <v>0</v>
      </c>
      <c r="I128" s="384" t="n">
        <f aca="false">IFERROR(IF($D$3/$D$5&lt;K127,$D$3/$D$5,K127),0)</f>
        <v>0</v>
      </c>
      <c r="J128" s="384" t="n">
        <f aca="false">K127*$D$4/12/100</f>
        <v>0</v>
      </c>
      <c r="K128" s="387" t="n">
        <f aca="false">K127-I128-L128-M128</f>
        <v>0</v>
      </c>
      <c r="L128" s="388"/>
      <c r="M128" s="402"/>
      <c r="N128" s="409"/>
      <c r="O128" s="409"/>
      <c r="P128" s="391" t="n">
        <f aca="false">IF(ISBLANK(L127),VALUE(P127),ROW(L127))</f>
        <v>10</v>
      </c>
      <c r="Q128" s="314" t="n">
        <f aca="false">Q127+P127-P128</f>
        <v>12</v>
      </c>
      <c r="R128" s="314" t="n">
        <f aca="false">INDEX(G:G,P128,1)</f>
        <v>69000</v>
      </c>
      <c r="S128" s="312"/>
    </row>
    <row r="129" s="379" customFormat="true" ht="14.9" hidden="false" customHeight="false" outlineLevel="0" collapsed="false">
      <c r="A129" s="403" t="n">
        <v>119</v>
      </c>
      <c r="B129" s="381" t="str">
        <f aca="false">CONCATENATE(INT((A129-1)/12)+1,"-й год ",A129-1-INT((A129-1)/12)*12+1,"-й мес")</f>
        <v>10-й год 11-й мес</v>
      </c>
      <c r="C129" s="382" t="n">
        <f aca="false">DATE(YEAR(C128),MONTH(C128)+1,DAY(C128))</f>
        <v>47484</v>
      </c>
      <c r="D129" s="383" t="n">
        <f aca="false">IFERROR(IF(R129*$D$4/100/12/(1-(1+$D$4/100/12)^(-Q129))&lt;G128,ROUNDUP(R129*$D$4/100/12/(1-(1+$D$4/100/12)^(-Q129)),0),G128+F129),0)</f>
        <v>0</v>
      </c>
      <c r="E129" s="384" t="n">
        <f aca="false">D129-F129</f>
        <v>0</v>
      </c>
      <c r="F129" s="384" t="n">
        <f aca="false">G128*$D$4*(C129-C128)/(DATE(YEAR(C129)+1,1,1)-DATE(YEAR(C129),1,1))/100</f>
        <v>0</v>
      </c>
      <c r="G129" s="385" t="n">
        <f aca="false">G128-E129-L129-M129</f>
        <v>0</v>
      </c>
      <c r="H129" s="386" t="n">
        <f aca="false">IFERROR(I129+J129,0)</f>
        <v>0</v>
      </c>
      <c r="I129" s="384" t="n">
        <f aca="false">IFERROR(IF($D$3/$D$5&lt;K128,$D$3/$D$5,K128),0)</f>
        <v>0</v>
      </c>
      <c r="J129" s="384" t="n">
        <f aca="false">K128*$D$4/12/100</f>
        <v>0</v>
      </c>
      <c r="K129" s="387" t="n">
        <f aca="false">K128-I129-L129-M129</f>
        <v>0</v>
      </c>
      <c r="L129" s="388"/>
      <c r="M129" s="402"/>
      <c r="N129" s="409"/>
      <c r="O129" s="409"/>
      <c r="P129" s="391" t="n">
        <f aca="false">IF(ISBLANK(L128),VALUE(P128),ROW(L128))</f>
        <v>10</v>
      </c>
      <c r="Q129" s="314" t="n">
        <f aca="false">Q128+P128-P129</f>
        <v>12</v>
      </c>
      <c r="R129" s="314" t="n">
        <f aca="false">INDEX(G:G,P129,1)</f>
        <v>69000</v>
      </c>
      <c r="S129" s="312"/>
    </row>
    <row r="130" s="379" customFormat="true" ht="14.9" hidden="false" customHeight="false" outlineLevel="0" collapsed="false">
      <c r="A130" s="404" t="n">
        <v>120</v>
      </c>
      <c r="B130" s="392" t="str">
        <f aca="false">CONCATENATE(INT((A130-1)/12)+1,"-й год ",A130-1-INT((A130-1)/12)*12+1,"-й мес")</f>
        <v>10-й год 12-й мес</v>
      </c>
      <c r="C130" s="393" t="n">
        <f aca="false">DATE(YEAR(C129),MONTH(C129)+1,DAY(C129))</f>
        <v>47515</v>
      </c>
      <c r="D130" s="394" t="n">
        <f aca="false">IFERROR(IF(R130*$D$4/100/12/(1-(1+$D$4/100/12)^(-Q130))&lt;G129,ROUNDUP(R130*$D$4/100/12/(1-(1+$D$4/100/12)^(-Q130)),0),G129+F130),0)</f>
        <v>0</v>
      </c>
      <c r="E130" s="395" t="n">
        <f aca="false">D130-F130</f>
        <v>0</v>
      </c>
      <c r="F130" s="395" t="n">
        <f aca="false">G129*$D$4*(C130-C129)/(DATE(YEAR(C130)+1,1,1)-DATE(YEAR(C130),1,1))/100</f>
        <v>0</v>
      </c>
      <c r="G130" s="405" t="n">
        <f aca="false">G129-E130-L130-M130</f>
        <v>0</v>
      </c>
      <c r="H130" s="406" t="n">
        <f aca="false">IFERROR(I130+J130,0)</f>
        <v>0</v>
      </c>
      <c r="I130" s="395" t="n">
        <f aca="false">IFERROR(IF($D$3/$D$5&lt;K129,$D$3/$D$5,K129),0)</f>
        <v>0</v>
      </c>
      <c r="J130" s="395" t="n">
        <f aca="false">K129*$D$4/12/100</f>
        <v>0</v>
      </c>
      <c r="K130" s="407" t="n">
        <f aca="false">K129-I130-L130-M130</f>
        <v>0</v>
      </c>
      <c r="L130" s="408"/>
      <c r="M130" s="402"/>
      <c r="N130" s="409"/>
      <c r="O130" s="409"/>
      <c r="P130" s="391" t="n">
        <f aca="false">IF(ISBLANK(L129),VALUE(P129),ROW(L129))</f>
        <v>10</v>
      </c>
      <c r="Q130" s="314" t="n">
        <f aca="false">Q129+P129-P130</f>
        <v>12</v>
      </c>
      <c r="R130" s="314" t="n">
        <f aca="false">INDEX(G:G,P130,1)</f>
        <v>69000</v>
      </c>
      <c r="S130" s="312"/>
    </row>
    <row r="131" s="379" customFormat="true" ht="14.9" hidden="false" customHeight="false" outlineLevel="0" collapsed="false">
      <c r="A131" s="380" t="n">
        <v>121</v>
      </c>
      <c r="B131" s="381" t="str">
        <f aca="false">CONCATENATE(INT((A131-1)/12)+1,"-й год ",A131-1-INT((A131-1)/12)*12+1,"-й мес")</f>
        <v>11-й год 1-й мес</v>
      </c>
      <c r="C131" s="382" t="n">
        <f aca="false">DATE(YEAR(C130),MONTH(C130)+1,DAY(C130))</f>
        <v>47543</v>
      </c>
      <c r="D131" s="383" t="n">
        <f aca="false">IFERROR(IF(R131*$D$4/100/12/(1-(1+$D$4/100/12)^(-Q131))&lt;G130,ROUNDUP(R131*$D$4/100/12/(1-(1+$D$4/100/12)^(-Q131)),0),G130+F131),0)</f>
        <v>0</v>
      </c>
      <c r="E131" s="384" t="n">
        <f aca="false">D131-F131</f>
        <v>0</v>
      </c>
      <c r="F131" s="384" t="n">
        <f aca="false">G130*$D$4*(C131-C130)/(DATE(YEAR(C131)+1,1,1)-DATE(YEAR(C131),1,1))/100</f>
        <v>0</v>
      </c>
      <c r="G131" s="385" t="n">
        <f aca="false">G130-E131-L131-M131</f>
        <v>0</v>
      </c>
      <c r="H131" s="386" t="n">
        <f aca="false">IFERROR(I131+J131,0)</f>
        <v>0</v>
      </c>
      <c r="I131" s="384" t="n">
        <f aca="false">IFERROR(IF($D$3/$D$5&lt;K130,$D$3/$D$5,K130),0)</f>
        <v>0</v>
      </c>
      <c r="J131" s="384" t="n">
        <f aca="false">K130*$D$4/12/100</f>
        <v>0</v>
      </c>
      <c r="K131" s="387" t="n">
        <f aca="false">K130-I131-L131-M131</f>
        <v>0</v>
      </c>
      <c r="L131" s="388"/>
      <c r="M131" s="402"/>
      <c r="N131" s="409"/>
      <c r="O131" s="409"/>
      <c r="P131" s="391" t="n">
        <f aca="false">IF(ISBLANK(L130),VALUE(P130),ROW(L130))</f>
        <v>10</v>
      </c>
      <c r="Q131" s="314" t="n">
        <f aca="false">Q130+P130-P131</f>
        <v>12</v>
      </c>
      <c r="R131" s="314" t="n">
        <f aca="false">INDEX(G:G,P131,1)</f>
        <v>69000</v>
      </c>
      <c r="S131" s="312"/>
    </row>
    <row r="132" s="379" customFormat="true" ht="14.9" hidden="false" customHeight="false" outlineLevel="0" collapsed="false">
      <c r="A132" s="380" t="n">
        <v>122</v>
      </c>
      <c r="B132" s="381" t="str">
        <f aca="false">CONCATENATE(INT((A132-1)/12)+1,"-й год ",A132-1-INT((A132-1)/12)*12+1,"-й мес")</f>
        <v>11-й год 2-й мес</v>
      </c>
      <c r="C132" s="382" t="n">
        <f aca="false">DATE(YEAR(C131),MONTH(C131)+1,DAY(C131))</f>
        <v>47574</v>
      </c>
      <c r="D132" s="383" t="n">
        <f aca="false">IFERROR(IF(R132*$D$4/100/12/(1-(1+$D$4/100/12)^(-Q132))&lt;G131,ROUNDUP(R132*$D$4/100/12/(1-(1+$D$4/100/12)^(-Q132)),0),G131+F132),0)</f>
        <v>0</v>
      </c>
      <c r="E132" s="384" t="n">
        <f aca="false">D132-F132</f>
        <v>0</v>
      </c>
      <c r="F132" s="384" t="n">
        <f aca="false">G131*$D$4*(C132-C131)/(DATE(YEAR(C132)+1,1,1)-DATE(YEAR(C132),1,1))/100</f>
        <v>0</v>
      </c>
      <c r="G132" s="385" t="n">
        <f aca="false">G131-E132-L132-M132</f>
        <v>0</v>
      </c>
      <c r="H132" s="386" t="n">
        <f aca="false">IFERROR(I132+J132,0)</f>
        <v>0</v>
      </c>
      <c r="I132" s="384" t="n">
        <f aca="false">IFERROR(IF($D$3/$D$5&lt;K131,$D$3/$D$5,K131),0)</f>
        <v>0</v>
      </c>
      <c r="J132" s="384" t="n">
        <f aca="false">K131*$D$4/12/100</f>
        <v>0</v>
      </c>
      <c r="K132" s="387" t="n">
        <f aca="false">K131-I132-L132-M132</f>
        <v>0</v>
      </c>
      <c r="L132" s="388"/>
      <c r="M132" s="402"/>
      <c r="N132" s="409"/>
      <c r="O132" s="409"/>
      <c r="P132" s="391" t="n">
        <f aca="false">IF(ISBLANK(L131),VALUE(P131),ROW(L131))</f>
        <v>10</v>
      </c>
      <c r="Q132" s="314" t="n">
        <f aca="false">Q131+P131-P132</f>
        <v>12</v>
      </c>
      <c r="R132" s="314" t="n">
        <f aca="false">INDEX(G:G,P132,1)</f>
        <v>69000</v>
      </c>
      <c r="S132" s="312"/>
    </row>
    <row r="133" s="379" customFormat="true" ht="14.9" hidden="false" customHeight="false" outlineLevel="0" collapsed="false">
      <c r="A133" s="380" t="n">
        <v>123</v>
      </c>
      <c r="B133" s="381" t="str">
        <f aca="false">CONCATENATE(INT((A133-1)/12)+1,"-й год ",A133-1-INT((A133-1)/12)*12+1,"-й мес")</f>
        <v>11-й год 3-й мес</v>
      </c>
      <c r="C133" s="382" t="n">
        <f aca="false">DATE(YEAR(C132),MONTH(C132)+1,DAY(C132))</f>
        <v>47604</v>
      </c>
      <c r="D133" s="383" t="n">
        <f aca="false">IFERROR(IF(R133*$D$4/100/12/(1-(1+$D$4/100/12)^(-Q133))&lt;G132,ROUNDUP(R133*$D$4/100/12/(1-(1+$D$4/100/12)^(-Q133)),0),G132+F133),0)</f>
        <v>0</v>
      </c>
      <c r="E133" s="384" t="n">
        <f aca="false">D133-F133</f>
        <v>0</v>
      </c>
      <c r="F133" s="384" t="n">
        <f aca="false">G132*$D$4*(C133-C132)/(DATE(YEAR(C133)+1,1,1)-DATE(YEAR(C133),1,1))/100</f>
        <v>0</v>
      </c>
      <c r="G133" s="385" t="n">
        <f aca="false">G132-E133-L133-M133</f>
        <v>0</v>
      </c>
      <c r="H133" s="386" t="n">
        <f aca="false">IFERROR(I133+J133,0)</f>
        <v>0</v>
      </c>
      <c r="I133" s="384" t="n">
        <f aca="false">IFERROR(IF($D$3/$D$5&lt;K132,$D$3/$D$5,K132),0)</f>
        <v>0</v>
      </c>
      <c r="J133" s="384" t="n">
        <f aca="false">K132*$D$4/12/100</f>
        <v>0</v>
      </c>
      <c r="K133" s="387" t="n">
        <f aca="false">K132-I133-L133-M133</f>
        <v>0</v>
      </c>
      <c r="L133" s="388"/>
      <c r="M133" s="402"/>
      <c r="N133" s="409"/>
      <c r="O133" s="409"/>
      <c r="P133" s="391" t="n">
        <f aca="false">IF(ISBLANK(L132),VALUE(P132),ROW(L132))</f>
        <v>10</v>
      </c>
      <c r="Q133" s="314" t="n">
        <f aca="false">Q132+P132-P133</f>
        <v>12</v>
      </c>
      <c r="R133" s="314" t="n">
        <f aca="false">INDEX(G:G,P133,1)</f>
        <v>69000</v>
      </c>
      <c r="S133" s="312"/>
    </row>
    <row r="134" s="379" customFormat="true" ht="14.9" hidden="false" customHeight="false" outlineLevel="0" collapsed="false">
      <c r="A134" s="380" t="n">
        <v>124</v>
      </c>
      <c r="B134" s="381" t="str">
        <f aca="false">CONCATENATE(INT((A134-1)/12)+1,"-й год ",A134-1-INT((A134-1)/12)*12+1,"-й мес")</f>
        <v>11-й год 4-й мес</v>
      </c>
      <c r="C134" s="382" t="n">
        <f aca="false">DATE(YEAR(C133),MONTH(C133)+1,DAY(C133))</f>
        <v>47635</v>
      </c>
      <c r="D134" s="383" t="n">
        <f aca="false">IFERROR(IF(R134*$D$4/100/12/(1-(1+$D$4/100/12)^(-Q134))&lt;G133,ROUNDUP(R134*$D$4/100/12/(1-(1+$D$4/100/12)^(-Q134)),0),G133+F134),0)</f>
        <v>0</v>
      </c>
      <c r="E134" s="384" t="n">
        <f aca="false">D134-F134</f>
        <v>0</v>
      </c>
      <c r="F134" s="384" t="n">
        <f aca="false">G133*$D$4*(C134-C133)/(DATE(YEAR(C134)+1,1,1)-DATE(YEAR(C134),1,1))/100</f>
        <v>0</v>
      </c>
      <c r="G134" s="385" t="n">
        <f aca="false">G133-E134-L134-M134</f>
        <v>0</v>
      </c>
      <c r="H134" s="386" t="n">
        <f aca="false">IFERROR(I134+J134,0)</f>
        <v>0</v>
      </c>
      <c r="I134" s="384" t="n">
        <f aca="false">IFERROR(IF($D$3/$D$5&lt;K133,$D$3/$D$5,K133),0)</f>
        <v>0</v>
      </c>
      <c r="J134" s="384" t="n">
        <f aca="false">K133*$D$4/12/100</f>
        <v>0</v>
      </c>
      <c r="K134" s="387" t="n">
        <f aca="false">K133-I134-L134-M134</f>
        <v>0</v>
      </c>
      <c r="L134" s="388"/>
      <c r="M134" s="402"/>
      <c r="N134" s="409"/>
      <c r="O134" s="409"/>
      <c r="P134" s="391" t="n">
        <f aca="false">IF(ISBLANK(L133),VALUE(P133),ROW(L133))</f>
        <v>10</v>
      </c>
      <c r="Q134" s="314" t="n">
        <f aca="false">Q133+P133-P134</f>
        <v>12</v>
      </c>
      <c r="R134" s="314" t="n">
        <f aca="false">INDEX(G:G,P134,1)</f>
        <v>69000</v>
      </c>
      <c r="S134" s="312"/>
    </row>
    <row r="135" s="379" customFormat="true" ht="14.9" hidden="false" customHeight="false" outlineLevel="0" collapsed="false">
      <c r="A135" s="380" t="n">
        <v>125</v>
      </c>
      <c r="B135" s="381" t="str">
        <f aca="false">CONCATENATE(INT((A135-1)/12)+1,"-й год ",A135-1-INT((A135-1)/12)*12+1,"-й мес")</f>
        <v>11-й год 5-й мес</v>
      </c>
      <c r="C135" s="382" t="n">
        <f aca="false">DATE(YEAR(C134),MONTH(C134)+1,DAY(C134))</f>
        <v>47665</v>
      </c>
      <c r="D135" s="383" t="n">
        <f aca="false">IFERROR(IF(R135*$D$4/100/12/(1-(1+$D$4/100/12)^(-Q135))&lt;G134,ROUNDUP(R135*$D$4/100/12/(1-(1+$D$4/100/12)^(-Q135)),0),G134+F135),0)</f>
        <v>0</v>
      </c>
      <c r="E135" s="384" t="n">
        <f aca="false">D135-F135</f>
        <v>0</v>
      </c>
      <c r="F135" s="384" t="n">
        <f aca="false">G134*$D$4*(C135-C134)/(DATE(YEAR(C135)+1,1,1)-DATE(YEAR(C135),1,1))/100</f>
        <v>0</v>
      </c>
      <c r="G135" s="385" t="n">
        <f aca="false">G134-E135-L135-M135</f>
        <v>0</v>
      </c>
      <c r="H135" s="386" t="n">
        <f aca="false">IFERROR(I135+J135,0)</f>
        <v>0</v>
      </c>
      <c r="I135" s="384" t="n">
        <f aca="false">IFERROR(IF($D$3/$D$5&lt;K134,$D$3/$D$5,K134),0)</f>
        <v>0</v>
      </c>
      <c r="J135" s="384" t="n">
        <f aca="false">K134*$D$4/12/100</f>
        <v>0</v>
      </c>
      <c r="K135" s="387" t="n">
        <f aca="false">K134-I135-L135-M135</f>
        <v>0</v>
      </c>
      <c r="L135" s="388"/>
      <c r="M135" s="402"/>
      <c r="N135" s="409"/>
      <c r="O135" s="409"/>
      <c r="P135" s="391" t="n">
        <f aca="false">IF(ISBLANK(L134),VALUE(P134),ROW(L134))</f>
        <v>10</v>
      </c>
      <c r="Q135" s="314" t="n">
        <f aca="false">Q134+P134-P135</f>
        <v>12</v>
      </c>
      <c r="R135" s="314" t="n">
        <f aca="false">INDEX(G:G,P135,1)</f>
        <v>69000</v>
      </c>
      <c r="S135" s="312"/>
    </row>
    <row r="136" s="379" customFormat="true" ht="14.9" hidden="false" customHeight="false" outlineLevel="0" collapsed="false">
      <c r="A136" s="380" t="n">
        <v>126</v>
      </c>
      <c r="B136" s="381" t="str">
        <f aca="false">CONCATENATE(INT((A136-1)/12)+1,"-й год ",A136-1-INT((A136-1)/12)*12+1,"-й мес")</f>
        <v>11-й год 6-й мес</v>
      </c>
      <c r="C136" s="382" t="n">
        <f aca="false">DATE(YEAR(C135),MONTH(C135)+1,DAY(C135))</f>
        <v>47696</v>
      </c>
      <c r="D136" s="383" t="n">
        <f aca="false">IFERROR(IF(R136*$D$4/100/12/(1-(1+$D$4/100/12)^(-Q136))&lt;G135,ROUNDUP(R136*$D$4/100/12/(1-(1+$D$4/100/12)^(-Q136)),0),G135+F136),0)</f>
        <v>0</v>
      </c>
      <c r="E136" s="384" t="n">
        <f aca="false">D136-F136</f>
        <v>0</v>
      </c>
      <c r="F136" s="384" t="n">
        <f aca="false">G135*$D$4*(C136-C135)/(DATE(YEAR(C136)+1,1,1)-DATE(YEAR(C136),1,1))/100</f>
        <v>0</v>
      </c>
      <c r="G136" s="385" t="n">
        <f aca="false">G135-E136-L136-M136</f>
        <v>0</v>
      </c>
      <c r="H136" s="386" t="n">
        <f aca="false">IFERROR(I136+J136,0)</f>
        <v>0</v>
      </c>
      <c r="I136" s="384" t="n">
        <f aca="false">IFERROR(IF($D$3/$D$5&lt;K135,$D$3/$D$5,K135),0)</f>
        <v>0</v>
      </c>
      <c r="J136" s="384" t="n">
        <f aca="false">K135*$D$4/12/100</f>
        <v>0</v>
      </c>
      <c r="K136" s="387" t="n">
        <f aca="false">K135-I136-L136-M136</f>
        <v>0</v>
      </c>
      <c r="L136" s="388"/>
      <c r="M136" s="402"/>
      <c r="N136" s="409"/>
      <c r="O136" s="409"/>
      <c r="P136" s="391" t="n">
        <f aca="false">IF(ISBLANK(L135),VALUE(P135),ROW(L135))</f>
        <v>10</v>
      </c>
      <c r="Q136" s="314" t="n">
        <f aca="false">Q135+P135-P136</f>
        <v>12</v>
      </c>
      <c r="R136" s="314" t="n">
        <f aca="false">INDEX(G:G,P136,1)</f>
        <v>69000</v>
      </c>
      <c r="S136" s="312"/>
    </row>
    <row r="137" s="379" customFormat="true" ht="14.9" hidden="false" customHeight="false" outlineLevel="0" collapsed="false">
      <c r="A137" s="380" t="n">
        <v>127</v>
      </c>
      <c r="B137" s="381" t="str">
        <f aca="false">CONCATENATE(INT((A137-1)/12)+1,"-й год ",A137-1-INT((A137-1)/12)*12+1,"-й мес")</f>
        <v>11-й год 7-й мес</v>
      </c>
      <c r="C137" s="382" t="n">
        <f aca="false">DATE(YEAR(C136),MONTH(C136)+1,DAY(C136))</f>
        <v>47727</v>
      </c>
      <c r="D137" s="383" t="n">
        <f aca="false">IFERROR(IF(R137*$D$4/100/12/(1-(1+$D$4/100/12)^(-Q137))&lt;G136,ROUNDUP(R137*$D$4/100/12/(1-(1+$D$4/100/12)^(-Q137)),0),G136+F137),0)</f>
        <v>0</v>
      </c>
      <c r="E137" s="384" t="n">
        <f aca="false">D137-F137</f>
        <v>0</v>
      </c>
      <c r="F137" s="384" t="n">
        <f aca="false">G136*$D$4*(C137-C136)/(DATE(YEAR(C137)+1,1,1)-DATE(YEAR(C137),1,1))/100</f>
        <v>0</v>
      </c>
      <c r="G137" s="385" t="n">
        <f aca="false">G136-E137-L137-M137</f>
        <v>0</v>
      </c>
      <c r="H137" s="386" t="n">
        <f aca="false">IFERROR(I137+J137,0)</f>
        <v>0</v>
      </c>
      <c r="I137" s="384" t="n">
        <f aca="false">IFERROR(IF($D$3/$D$5&lt;K136,$D$3/$D$5,K136),0)</f>
        <v>0</v>
      </c>
      <c r="J137" s="384" t="n">
        <f aca="false">K136*$D$4/12/100</f>
        <v>0</v>
      </c>
      <c r="K137" s="387" t="n">
        <f aca="false">K136-I137-L137-M137</f>
        <v>0</v>
      </c>
      <c r="L137" s="388"/>
      <c r="M137" s="402"/>
      <c r="N137" s="409"/>
      <c r="O137" s="409"/>
      <c r="P137" s="391" t="n">
        <f aca="false">IF(ISBLANK(L136),VALUE(P136),ROW(L136))</f>
        <v>10</v>
      </c>
      <c r="Q137" s="314" t="n">
        <f aca="false">Q136+P136-P137</f>
        <v>12</v>
      </c>
      <c r="R137" s="314" t="n">
        <f aca="false">INDEX(G:G,P137,1)</f>
        <v>69000</v>
      </c>
      <c r="S137" s="312"/>
    </row>
    <row r="138" s="379" customFormat="true" ht="14.9" hidden="false" customHeight="false" outlineLevel="0" collapsed="false">
      <c r="A138" s="380" t="n">
        <v>128</v>
      </c>
      <c r="B138" s="381" t="str">
        <f aca="false">CONCATENATE(INT((A138-1)/12)+1,"-й год ",A138-1-INT((A138-1)/12)*12+1,"-й мес")</f>
        <v>11-й год 8-й мес</v>
      </c>
      <c r="C138" s="382" t="n">
        <f aca="false">DATE(YEAR(C137),MONTH(C137)+1,DAY(C137))</f>
        <v>47757</v>
      </c>
      <c r="D138" s="383" t="n">
        <f aca="false">IFERROR(IF(R138*$D$4/100/12/(1-(1+$D$4/100/12)^(-Q138))&lt;G137,ROUNDUP(R138*$D$4/100/12/(1-(1+$D$4/100/12)^(-Q138)),0),G137+F138),0)</f>
        <v>0</v>
      </c>
      <c r="E138" s="384" t="n">
        <f aca="false">D138-F138</f>
        <v>0</v>
      </c>
      <c r="F138" s="384" t="n">
        <f aca="false">G137*$D$4*(C138-C137)/(DATE(YEAR(C138)+1,1,1)-DATE(YEAR(C138),1,1))/100</f>
        <v>0</v>
      </c>
      <c r="G138" s="385" t="n">
        <f aca="false">G137-E138-L138-M138</f>
        <v>0</v>
      </c>
      <c r="H138" s="386" t="n">
        <f aca="false">IFERROR(I138+J138,0)</f>
        <v>0</v>
      </c>
      <c r="I138" s="384" t="n">
        <f aca="false">IFERROR(IF($D$3/$D$5&lt;K137,$D$3/$D$5,K137),0)</f>
        <v>0</v>
      </c>
      <c r="J138" s="384" t="n">
        <f aca="false">K137*$D$4/12/100</f>
        <v>0</v>
      </c>
      <c r="K138" s="387" t="n">
        <f aca="false">K137-I138-L138-M138</f>
        <v>0</v>
      </c>
      <c r="L138" s="388"/>
      <c r="M138" s="402"/>
      <c r="N138" s="409"/>
      <c r="O138" s="409"/>
      <c r="P138" s="391" t="n">
        <f aca="false">IF(ISBLANK(L137),VALUE(P137),ROW(L137))</f>
        <v>10</v>
      </c>
      <c r="Q138" s="314" t="n">
        <f aca="false">Q137+P137-P138</f>
        <v>12</v>
      </c>
      <c r="R138" s="314" t="n">
        <f aca="false">INDEX(G:G,P138,1)</f>
        <v>69000</v>
      </c>
      <c r="S138" s="312"/>
    </row>
    <row r="139" s="379" customFormat="true" ht="14.9" hidden="false" customHeight="false" outlineLevel="0" collapsed="false">
      <c r="A139" s="380" t="n">
        <v>129</v>
      </c>
      <c r="B139" s="381" t="str">
        <f aca="false">CONCATENATE(INT((A139-1)/12)+1,"-й год ",A139-1-INT((A139-1)/12)*12+1,"-й мес")</f>
        <v>11-й год 9-й мес</v>
      </c>
      <c r="C139" s="382" t="n">
        <f aca="false">DATE(YEAR(C138),MONTH(C138)+1,DAY(C138))</f>
        <v>47788</v>
      </c>
      <c r="D139" s="383" t="n">
        <f aca="false">IFERROR(IF(R139*$D$4/100/12/(1-(1+$D$4/100/12)^(-Q139))&lt;G138,ROUNDUP(R139*$D$4/100/12/(1-(1+$D$4/100/12)^(-Q139)),0),G138+F139),0)</f>
        <v>0</v>
      </c>
      <c r="E139" s="384" t="n">
        <f aca="false">D139-F139</f>
        <v>0</v>
      </c>
      <c r="F139" s="384" t="n">
        <f aca="false">G138*$D$4*(C139-C138)/(DATE(YEAR(C139)+1,1,1)-DATE(YEAR(C139),1,1))/100</f>
        <v>0</v>
      </c>
      <c r="G139" s="385" t="n">
        <f aca="false">G138-E139-L139-M139</f>
        <v>0</v>
      </c>
      <c r="H139" s="386" t="n">
        <f aca="false">IFERROR(I139+J139,0)</f>
        <v>0</v>
      </c>
      <c r="I139" s="384" t="n">
        <f aca="false">IFERROR(IF($D$3/$D$5&lt;K138,$D$3/$D$5,K138),0)</f>
        <v>0</v>
      </c>
      <c r="J139" s="384" t="n">
        <f aca="false">K138*$D$4/12/100</f>
        <v>0</v>
      </c>
      <c r="K139" s="387" t="n">
        <f aca="false">K138-I139-L139-M139</f>
        <v>0</v>
      </c>
      <c r="L139" s="388"/>
      <c r="M139" s="402"/>
      <c r="N139" s="409"/>
      <c r="O139" s="409"/>
      <c r="P139" s="391" t="n">
        <f aca="false">IF(ISBLANK(L138),VALUE(P138),ROW(L138))</f>
        <v>10</v>
      </c>
      <c r="Q139" s="314" t="n">
        <f aca="false">Q138+P138-P139</f>
        <v>12</v>
      </c>
      <c r="R139" s="314" t="n">
        <f aca="false">INDEX(G:G,P139,1)</f>
        <v>69000</v>
      </c>
      <c r="S139" s="312"/>
    </row>
    <row r="140" s="379" customFormat="true" ht="14.9" hidden="false" customHeight="false" outlineLevel="0" collapsed="false">
      <c r="A140" s="380" t="n">
        <v>130</v>
      </c>
      <c r="B140" s="381" t="str">
        <f aca="false">CONCATENATE(INT((A140-1)/12)+1,"-й год ",A140-1-INT((A140-1)/12)*12+1,"-й мес")</f>
        <v>11-й год 10-й мес</v>
      </c>
      <c r="C140" s="382" t="n">
        <f aca="false">DATE(YEAR(C139),MONTH(C139)+1,DAY(C139))</f>
        <v>47818</v>
      </c>
      <c r="D140" s="383" t="n">
        <f aca="false">IFERROR(IF(R140*$D$4/100/12/(1-(1+$D$4/100/12)^(-Q140))&lt;G139,ROUNDUP(R140*$D$4/100/12/(1-(1+$D$4/100/12)^(-Q140)),0),G139+F140),0)</f>
        <v>0</v>
      </c>
      <c r="E140" s="384" t="n">
        <f aca="false">D140-F140</f>
        <v>0</v>
      </c>
      <c r="F140" s="384" t="n">
        <f aca="false">G139*$D$4*(C140-C139)/(DATE(YEAR(C140)+1,1,1)-DATE(YEAR(C140),1,1))/100</f>
        <v>0</v>
      </c>
      <c r="G140" s="385" t="n">
        <f aca="false">G139-E140-L140-M140</f>
        <v>0</v>
      </c>
      <c r="H140" s="386" t="n">
        <f aca="false">IFERROR(I140+J140,0)</f>
        <v>0</v>
      </c>
      <c r="I140" s="384" t="n">
        <f aca="false">IFERROR(IF($D$3/$D$5&lt;K139,$D$3/$D$5,K139),0)</f>
        <v>0</v>
      </c>
      <c r="J140" s="384" t="n">
        <f aca="false">K139*$D$4/12/100</f>
        <v>0</v>
      </c>
      <c r="K140" s="387" t="n">
        <f aca="false">K139-I140-L140-M140</f>
        <v>0</v>
      </c>
      <c r="L140" s="388"/>
      <c r="M140" s="402"/>
      <c r="N140" s="409"/>
      <c r="O140" s="409"/>
      <c r="P140" s="391" t="n">
        <f aca="false">IF(ISBLANK(L139),VALUE(P139),ROW(L139))</f>
        <v>10</v>
      </c>
      <c r="Q140" s="314" t="n">
        <f aca="false">Q139+P139-P140</f>
        <v>12</v>
      </c>
      <c r="R140" s="314" t="n">
        <f aca="false">INDEX(G:G,P140,1)</f>
        <v>69000</v>
      </c>
      <c r="S140" s="312"/>
    </row>
    <row r="141" s="379" customFormat="true" ht="14.9" hidden="false" customHeight="false" outlineLevel="0" collapsed="false">
      <c r="A141" s="380" t="n">
        <v>131</v>
      </c>
      <c r="B141" s="381" t="str">
        <f aca="false">CONCATENATE(INT((A141-1)/12)+1,"-й год ",A141-1-INT((A141-1)/12)*12+1,"-й мес")</f>
        <v>11-й год 11-й мес</v>
      </c>
      <c r="C141" s="382" t="n">
        <f aca="false">DATE(YEAR(C140),MONTH(C140)+1,DAY(C140))</f>
        <v>47849</v>
      </c>
      <c r="D141" s="383" t="n">
        <f aca="false">IFERROR(IF(R141*$D$4/100/12/(1-(1+$D$4/100/12)^(-Q141))&lt;G140,ROUNDUP(R141*$D$4/100/12/(1-(1+$D$4/100/12)^(-Q141)),0),G140+F141),0)</f>
        <v>0</v>
      </c>
      <c r="E141" s="384" t="n">
        <f aca="false">D141-F141</f>
        <v>0</v>
      </c>
      <c r="F141" s="384" t="n">
        <f aca="false">G140*$D$4*(C141-C140)/(DATE(YEAR(C141)+1,1,1)-DATE(YEAR(C141),1,1))/100</f>
        <v>0</v>
      </c>
      <c r="G141" s="385" t="n">
        <f aca="false">G140-E141-L141-M141</f>
        <v>0</v>
      </c>
      <c r="H141" s="386" t="n">
        <f aca="false">IFERROR(I141+J141,0)</f>
        <v>0</v>
      </c>
      <c r="I141" s="384" t="n">
        <f aca="false">IFERROR(IF($D$3/$D$5&lt;K140,$D$3/$D$5,K140),0)</f>
        <v>0</v>
      </c>
      <c r="J141" s="384" t="n">
        <f aca="false">K140*$D$4/12/100</f>
        <v>0</v>
      </c>
      <c r="K141" s="387" t="n">
        <f aca="false">K140-I141-L141-M141</f>
        <v>0</v>
      </c>
      <c r="L141" s="388"/>
      <c r="M141" s="402"/>
      <c r="N141" s="409"/>
      <c r="O141" s="409"/>
      <c r="P141" s="391" t="n">
        <f aca="false">IF(ISBLANK(L140),VALUE(P140),ROW(L140))</f>
        <v>10</v>
      </c>
      <c r="Q141" s="314" t="n">
        <f aca="false">Q140+P140-P141</f>
        <v>12</v>
      </c>
      <c r="R141" s="314" t="n">
        <f aca="false">INDEX(G:G,P141,1)</f>
        <v>69000</v>
      </c>
      <c r="S141" s="312"/>
    </row>
    <row r="142" s="379" customFormat="true" ht="14.9" hidden="false" customHeight="false" outlineLevel="0" collapsed="false">
      <c r="A142" s="380" t="n">
        <v>132</v>
      </c>
      <c r="B142" s="392" t="str">
        <f aca="false">CONCATENATE(INT((A142-1)/12)+1,"-й год ",A142-1-INT((A142-1)/12)*12+1,"-й мес")</f>
        <v>11-й год 12-й мес</v>
      </c>
      <c r="C142" s="393" t="n">
        <f aca="false">DATE(YEAR(C141),MONTH(C141)+1,DAY(C141))</f>
        <v>47880</v>
      </c>
      <c r="D142" s="394" t="n">
        <f aca="false">IFERROR(IF(R142*$D$4/100/12/(1-(1+$D$4/100/12)^(-Q142))&lt;G141,ROUNDUP(R142*$D$4/100/12/(1-(1+$D$4/100/12)^(-Q142)),0),G141+F142),0)</f>
        <v>0</v>
      </c>
      <c r="E142" s="395" t="n">
        <f aca="false">D142-F142</f>
        <v>0</v>
      </c>
      <c r="F142" s="395" t="n">
        <f aca="false">G141*$D$4*(C142-C141)/(DATE(YEAR(C142)+1,1,1)-DATE(YEAR(C142),1,1))/100</f>
        <v>0</v>
      </c>
      <c r="G142" s="385" t="n">
        <f aca="false">G141-E142-L142-M142</f>
        <v>0</v>
      </c>
      <c r="H142" s="386" t="n">
        <f aca="false">IFERROR(I142+J142,0)</f>
        <v>0</v>
      </c>
      <c r="I142" s="384" t="n">
        <f aca="false">IFERROR(IF($D$3/$D$5&lt;K141,$D$3/$D$5,K141),0)</f>
        <v>0</v>
      </c>
      <c r="J142" s="384" t="n">
        <f aca="false">K141*$D$4/12/100</f>
        <v>0</v>
      </c>
      <c r="K142" s="387" t="n">
        <f aca="false">K141-I142-L142-M142</f>
        <v>0</v>
      </c>
      <c r="L142" s="388"/>
      <c r="M142" s="402"/>
      <c r="N142" s="409"/>
      <c r="O142" s="409"/>
      <c r="P142" s="391" t="n">
        <f aca="false">IF(ISBLANK(L141),VALUE(P141),ROW(L141))</f>
        <v>10</v>
      </c>
      <c r="Q142" s="314" t="n">
        <f aca="false">Q141+P141-P142</f>
        <v>12</v>
      </c>
      <c r="R142" s="314" t="n">
        <f aca="false">INDEX(G:G,P142,1)</f>
        <v>69000</v>
      </c>
      <c r="S142" s="312"/>
    </row>
    <row r="143" s="379" customFormat="true" ht="14.9" hidden="false" customHeight="false" outlineLevel="0" collapsed="false">
      <c r="A143" s="396" t="n">
        <v>133</v>
      </c>
      <c r="B143" s="381" t="str">
        <f aca="false">CONCATENATE(INT((A143-1)/12)+1,"-й год ",A143-1-INT((A143-1)/12)*12+1,"-й мес")</f>
        <v>12-й год 1-й мес</v>
      </c>
      <c r="C143" s="382" t="n">
        <f aca="false">DATE(YEAR(C142),MONTH(C142)+1,DAY(C142))</f>
        <v>47908</v>
      </c>
      <c r="D143" s="383" t="n">
        <f aca="false">IFERROR(IF(R143*$D$4/100/12/(1-(1+$D$4/100/12)^(-Q143))&lt;G142,ROUNDUP(R143*$D$4/100/12/(1-(1+$D$4/100/12)^(-Q143)),0),G142+F143),0)</f>
        <v>0</v>
      </c>
      <c r="E143" s="384" t="n">
        <f aca="false">D143-F143</f>
        <v>0</v>
      </c>
      <c r="F143" s="384" t="n">
        <f aca="false">G142*$D$4*(C143-C142)/(DATE(YEAR(C143)+1,1,1)-DATE(YEAR(C143),1,1))/100</f>
        <v>0</v>
      </c>
      <c r="G143" s="397" t="n">
        <f aca="false">G142-E143-L143-M143</f>
        <v>0</v>
      </c>
      <c r="H143" s="398" t="n">
        <f aca="false">IFERROR(I143+J143,0)</f>
        <v>0</v>
      </c>
      <c r="I143" s="399" t="n">
        <f aca="false">IFERROR(IF($D$3/$D$5&lt;K142,$D$3/$D$5,K142),0)</f>
        <v>0</v>
      </c>
      <c r="J143" s="399" t="n">
        <f aca="false">K142*$D$4/12/100</f>
        <v>0</v>
      </c>
      <c r="K143" s="400" t="n">
        <f aca="false">K142-I143-L143-M143</f>
        <v>0</v>
      </c>
      <c r="L143" s="401"/>
      <c r="M143" s="402"/>
      <c r="N143" s="409"/>
      <c r="O143" s="409"/>
      <c r="P143" s="391" t="n">
        <f aca="false">IF(ISBLANK(L142),VALUE(P142),ROW(L142))</f>
        <v>10</v>
      </c>
      <c r="Q143" s="314" t="n">
        <f aca="false">Q142+P142-P143</f>
        <v>12</v>
      </c>
      <c r="R143" s="314" t="n">
        <f aca="false">INDEX(G:G,P143,1)</f>
        <v>69000</v>
      </c>
      <c r="S143" s="312"/>
    </row>
    <row r="144" s="379" customFormat="true" ht="14.9" hidden="false" customHeight="false" outlineLevel="0" collapsed="false">
      <c r="A144" s="403" t="n">
        <v>134</v>
      </c>
      <c r="B144" s="381" t="str">
        <f aca="false">CONCATENATE(INT((A144-1)/12)+1,"-й год ",A144-1-INT((A144-1)/12)*12+1,"-й мес")</f>
        <v>12-й год 2-й мес</v>
      </c>
      <c r="C144" s="382" t="n">
        <f aca="false">DATE(YEAR(C143),MONTH(C143)+1,DAY(C143))</f>
        <v>47939</v>
      </c>
      <c r="D144" s="383" t="n">
        <f aca="false">IFERROR(IF(R144*$D$4/100/12/(1-(1+$D$4/100/12)^(-Q144))&lt;G143,ROUNDUP(R144*$D$4/100/12/(1-(1+$D$4/100/12)^(-Q144)),0),G143+F144),0)</f>
        <v>0</v>
      </c>
      <c r="E144" s="384" t="n">
        <f aca="false">D144-F144</f>
        <v>0</v>
      </c>
      <c r="F144" s="384" t="n">
        <f aca="false">G143*$D$4*(C144-C143)/(DATE(YEAR(C144)+1,1,1)-DATE(YEAR(C144),1,1))/100</f>
        <v>0</v>
      </c>
      <c r="G144" s="385" t="n">
        <f aca="false">G143-E144-L144-M144</f>
        <v>0</v>
      </c>
      <c r="H144" s="386" t="n">
        <f aca="false">IFERROR(I144+J144,0)</f>
        <v>0</v>
      </c>
      <c r="I144" s="384" t="n">
        <f aca="false">IFERROR(IF($D$3/$D$5&lt;K143,$D$3/$D$5,K143),0)</f>
        <v>0</v>
      </c>
      <c r="J144" s="384" t="n">
        <f aca="false">K143*$D$4/12/100</f>
        <v>0</v>
      </c>
      <c r="K144" s="387" t="n">
        <f aca="false">K143-I144-L144-M144</f>
        <v>0</v>
      </c>
      <c r="L144" s="388"/>
      <c r="M144" s="389"/>
      <c r="N144" s="409"/>
      <c r="O144" s="409"/>
      <c r="P144" s="391" t="n">
        <f aca="false">IF(ISBLANK(L143),VALUE(P143),ROW(L143))</f>
        <v>10</v>
      </c>
      <c r="Q144" s="314" t="n">
        <f aca="false">Q143+P143-P144</f>
        <v>12</v>
      </c>
      <c r="R144" s="314" t="n">
        <f aca="false">INDEX(G:G,P144,1)</f>
        <v>69000</v>
      </c>
      <c r="S144" s="312"/>
    </row>
    <row r="145" s="379" customFormat="true" ht="14.9" hidden="false" customHeight="false" outlineLevel="0" collapsed="false">
      <c r="A145" s="403" t="n">
        <v>135</v>
      </c>
      <c r="B145" s="381" t="str">
        <f aca="false">CONCATENATE(INT((A145-1)/12)+1,"-й год ",A145-1-INT((A145-1)/12)*12+1,"-й мес")</f>
        <v>12-й год 3-й мес</v>
      </c>
      <c r="C145" s="382" t="n">
        <f aca="false">DATE(YEAR(C144),MONTH(C144)+1,DAY(C144))</f>
        <v>47969</v>
      </c>
      <c r="D145" s="383" t="n">
        <f aca="false">IFERROR(IF(R145*$D$4/100/12/(1-(1+$D$4/100/12)^(-Q145))&lt;G144,ROUNDUP(R145*$D$4/100/12/(1-(1+$D$4/100/12)^(-Q145)),0),G144+F145),0)</f>
        <v>0</v>
      </c>
      <c r="E145" s="384" t="n">
        <f aca="false">D145-F145</f>
        <v>0</v>
      </c>
      <c r="F145" s="384" t="n">
        <f aca="false">G144*$D$4*(C145-C144)/(DATE(YEAR(C145)+1,1,1)-DATE(YEAR(C145),1,1))/100</f>
        <v>0</v>
      </c>
      <c r="G145" s="385" t="n">
        <f aca="false">G144-E145-L145-M145</f>
        <v>0</v>
      </c>
      <c r="H145" s="386" t="n">
        <f aca="false">IFERROR(I145+J145,0)</f>
        <v>0</v>
      </c>
      <c r="I145" s="384" t="n">
        <f aca="false">IFERROR(IF($D$3/$D$5&lt;K144,$D$3/$D$5,K144),0)</f>
        <v>0</v>
      </c>
      <c r="J145" s="384" t="n">
        <f aca="false">K144*$D$4/12/100</f>
        <v>0</v>
      </c>
      <c r="K145" s="387" t="n">
        <f aca="false">K144-I145-L145-M145</f>
        <v>0</v>
      </c>
      <c r="L145" s="388"/>
      <c r="M145" s="389"/>
      <c r="N145" s="409"/>
      <c r="O145" s="409"/>
      <c r="P145" s="391" t="n">
        <f aca="false">IF(ISBLANK(L144),VALUE(P144),ROW(L144))</f>
        <v>10</v>
      </c>
      <c r="Q145" s="314" t="n">
        <f aca="false">Q144+P144-P145</f>
        <v>12</v>
      </c>
      <c r="R145" s="314" t="n">
        <f aca="false">INDEX(G:G,P145,1)</f>
        <v>69000</v>
      </c>
      <c r="S145" s="312"/>
    </row>
    <row r="146" s="379" customFormat="true" ht="14.9" hidden="false" customHeight="false" outlineLevel="0" collapsed="false">
      <c r="A146" s="403" t="n">
        <v>136</v>
      </c>
      <c r="B146" s="381" t="str">
        <f aca="false">CONCATENATE(INT((A146-1)/12)+1,"-й год ",A146-1-INT((A146-1)/12)*12+1,"-й мес")</f>
        <v>12-й год 4-й мес</v>
      </c>
      <c r="C146" s="382" t="n">
        <f aca="false">DATE(YEAR(C145),MONTH(C145)+1,DAY(C145))</f>
        <v>48000</v>
      </c>
      <c r="D146" s="383" t="n">
        <f aca="false">IFERROR(IF(R146*$D$4/100/12/(1-(1+$D$4/100/12)^(-Q146))&lt;G145,ROUNDUP(R146*$D$4/100/12/(1-(1+$D$4/100/12)^(-Q146)),0),G145+F146),0)</f>
        <v>0</v>
      </c>
      <c r="E146" s="384" t="n">
        <f aca="false">D146-F146</f>
        <v>0</v>
      </c>
      <c r="F146" s="384" t="n">
        <f aca="false">G145*$D$4*(C146-C145)/(DATE(YEAR(C146)+1,1,1)-DATE(YEAR(C146),1,1))/100</f>
        <v>0</v>
      </c>
      <c r="G146" s="385" t="n">
        <f aca="false">G145-E146-L146-M146</f>
        <v>0</v>
      </c>
      <c r="H146" s="386" t="n">
        <f aca="false">IFERROR(I146+J146,0)</f>
        <v>0</v>
      </c>
      <c r="I146" s="384" t="n">
        <f aca="false">IFERROR(IF($D$3/$D$5&lt;K145,$D$3/$D$5,K145),0)</f>
        <v>0</v>
      </c>
      <c r="J146" s="384" t="n">
        <f aca="false">K145*$D$4/12/100</f>
        <v>0</v>
      </c>
      <c r="K146" s="387" t="n">
        <f aca="false">K145-I146-L146-M146</f>
        <v>0</v>
      </c>
      <c r="L146" s="388"/>
      <c r="M146" s="389"/>
      <c r="N146" s="409"/>
      <c r="O146" s="409"/>
      <c r="P146" s="391" t="n">
        <f aca="false">IF(ISBLANK(L145),VALUE(P145),ROW(L145))</f>
        <v>10</v>
      </c>
      <c r="Q146" s="314" t="n">
        <f aca="false">Q145+P145-P146</f>
        <v>12</v>
      </c>
      <c r="R146" s="314" t="n">
        <f aca="false">INDEX(G:G,P146,1)</f>
        <v>69000</v>
      </c>
      <c r="S146" s="312"/>
    </row>
    <row r="147" s="379" customFormat="true" ht="14.9" hidden="false" customHeight="false" outlineLevel="0" collapsed="false">
      <c r="A147" s="403" t="n">
        <v>137</v>
      </c>
      <c r="B147" s="381" t="str">
        <f aca="false">CONCATENATE(INT((A147-1)/12)+1,"-й год ",A147-1-INT((A147-1)/12)*12+1,"-й мес")</f>
        <v>12-й год 5-й мес</v>
      </c>
      <c r="C147" s="382" t="n">
        <f aca="false">DATE(YEAR(C146),MONTH(C146)+1,DAY(C146))</f>
        <v>48030</v>
      </c>
      <c r="D147" s="383" t="n">
        <f aca="false">IFERROR(IF(R147*$D$4/100/12/(1-(1+$D$4/100/12)^(-Q147))&lt;G146,ROUNDUP(R147*$D$4/100/12/(1-(1+$D$4/100/12)^(-Q147)),0),G146+F147),0)</f>
        <v>0</v>
      </c>
      <c r="E147" s="384" t="n">
        <f aca="false">D147-F147</f>
        <v>0</v>
      </c>
      <c r="F147" s="384" t="n">
        <f aca="false">G146*$D$4*(C147-C146)/(DATE(YEAR(C147)+1,1,1)-DATE(YEAR(C147),1,1))/100</f>
        <v>0</v>
      </c>
      <c r="G147" s="385" t="n">
        <f aca="false">G146-E147-L147-M147</f>
        <v>0</v>
      </c>
      <c r="H147" s="386" t="n">
        <f aca="false">IFERROR(I147+J147,0)</f>
        <v>0</v>
      </c>
      <c r="I147" s="384" t="n">
        <f aca="false">IFERROR(IF($D$3/$D$5&lt;K146,$D$3/$D$5,K146),0)</f>
        <v>0</v>
      </c>
      <c r="J147" s="384" t="n">
        <f aca="false">K146*$D$4/12/100</f>
        <v>0</v>
      </c>
      <c r="K147" s="387" t="n">
        <f aca="false">K146-I147-L147-M147</f>
        <v>0</v>
      </c>
      <c r="L147" s="388"/>
      <c r="M147" s="389"/>
      <c r="N147" s="409"/>
      <c r="O147" s="409"/>
      <c r="P147" s="391" t="n">
        <f aca="false">IF(ISBLANK(L146),VALUE(P146),ROW(L146))</f>
        <v>10</v>
      </c>
      <c r="Q147" s="314" t="n">
        <f aca="false">Q146+P146-P147</f>
        <v>12</v>
      </c>
      <c r="R147" s="314" t="n">
        <f aca="false">INDEX(G:G,P147,1)</f>
        <v>69000</v>
      </c>
      <c r="S147" s="312"/>
    </row>
    <row r="148" s="379" customFormat="true" ht="14.9" hidden="false" customHeight="false" outlineLevel="0" collapsed="false">
      <c r="A148" s="403" t="n">
        <v>138</v>
      </c>
      <c r="B148" s="381" t="str">
        <f aca="false">CONCATENATE(INT((A148-1)/12)+1,"-й год ",A148-1-INT((A148-1)/12)*12+1,"-й мес")</f>
        <v>12-й год 6-й мес</v>
      </c>
      <c r="C148" s="382" t="n">
        <f aca="false">DATE(YEAR(C147),MONTH(C147)+1,DAY(C147))</f>
        <v>48061</v>
      </c>
      <c r="D148" s="383" t="n">
        <f aca="false">IFERROR(IF(R148*$D$4/100/12/(1-(1+$D$4/100/12)^(-Q148))&lt;G147,ROUNDUP(R148*$D$4/100/12/(1-(1+$D$4/100/12)^(-Q148)),0),G147+F148),0)</f>
        <v>0</v>
      </c>
      <c r="E148" s="384" t="n">
        <f aca="false">D148-F148</f>
        <v>0</v>
      </c>
      <c r="F148" s="384" t="n">
        <f aca="false">G147*$D$4*(C148-C147)/(DATE(YEAR(C148)+1,1,1)-DATE(YEAR(C148),1,1))/100</f>
        <v>0</v>
      </c>
      <c r="G148" s="385" t="n">
        <f aca="false">G147-E148-L148-M148</f>
        <v>0</v>
      </c>
      <c r="H148" s="386" t="n">
        <f aca="false">IFERROR(I148+J148,0)</f>
        <v>0</v>
      </c>
      <c r="I148" s="384" t="n">
        <f aca="false">IFERROR(IF($D$3/$D$5&lt;K147,$D$3/$D$5,K147),0)</f>
        <v>0</v>
      </c>
      <c r="J148" s="384" t="n">
        <f aca="false">K147*$D$4/12/100</f>
        <v>0</v>
      </c>
      <c r="K148" s="387" t="n">
        <f aca="false">K147-I148-L148-M148</f>
        <v>0</v>
      </c>
      <c r="L148" s="388"/>
      <c r="M148" s="389"/>
      <c r="N148" s="409"/>
      <c r="O148" s="409"/>
      <c r="P148" s="391" t="n">
        <f aca="false">IF(ISBLANK(L147),VALUE(P147),ROW(L147))</f>
        <v>10</v>
      </c>
      <c r="Q148" s="314" t="n">
        <f aca="false">Q147+P147-P148</f>
        <v>12</v>
      </c>
      <c r="R148" s="314" t="n">
        <f aca="false">INDEX(G:G,P148,1)</f>
        <v>69000</v>
      </c>
      <c r="S148" s="312"/>
    </row>
    <row r="149" s="379" customFormat="true" ht="14.9" hidden="false" customHeight="false" outlineLevel="0" collapsed="false">
      <c r="A149" s="403" t="n">
        <v>139</v>
      </c>
      <c r="B149" s="381" t="str">
        <f aca="false">CONCATENATE(INT((A149-1)/12)+1,"-й год ",A149-1-INT((A149-1)/12)*12+1,"-й мес")</f>
        <v>12-й год 7-й мес</v>
      </c>
      <c r="C149" s="382" t="n">
        <f aca="false">DATE(YEAR(C148),MONTH(C148)+1,DAY(C148))</f>
        <v>48092</v>
      </c>
      <c r="D149" s="383" t="n">
        <f aca="false">IFERROR(IF(R149*$D$4/100/12/(1-(1+$D$4/100/12)^(-Q149))&lt;G148,ROUNDUP(R149*$D$4/100/12/(1-(1+$D$4/100/12)^(-Q149)),0),G148+F149),0)</f>
        <v>0</v>
      </c>
      <c r="E149" s="384" t="n">
        <f aca="false">D149-F149</f>
        <v>0</v>
      </c>
      <c r="F149" s="384" t="n">
        <f aca="false">G148*$D$4*(C149-C148)/(DATE(YEAR(C149)+1,1,1)-DATE(YEAR(C149),1,1))/100</f>
        <v>0</v>
      </c>
      <c r="G149" s="385" t="n">
        <f aca="false">G148-E149-L149-M149</f>
        <v>0</v>
      </c>
      <c r="H149" s="386" t="n">
        <f aca="false">IFERROR(I149+J149,0)</f>
        <v>0</v>
      </c>
      <c r="I149" s="384" t="n">
        <f aca="false">IFERROR(IF($D$3/$D$5&lt;K148,$D$3/$D$5,K148),0)</f>
        <v>0</v>
      </c>
      <c r="J149" s="384" t="n">
        <f aca="false">K148*$D$4/12/100</f>
        <v>0</v>
      </c>
      <c r="K149" s="387" t="n">
        <f aca="false">K148-I149-L149-M149</f>
        <v>0</v>
      </c>
      <c r="L149" s="388"/>
      <c r="M149" s="389"/>
      <c r="N149" s="409"/>
      <c r="O149" s="409"/>
      <c r="P149" s="391" t="n">
        <f aca="false">IF(ISBLANK(L148),VALUE(P148),ROW(L148))</f>
        <v>10</v>
      </c>
      <c r="Q149" s="314" t="n">
        <f aca="false">Q148+P148-P149</f>
        <v>12</v>
      </c>
      <c r="R149" s="314" t="n">
        <f aca="false">INDEX(G:G,P149,1)</f>
        <v>69000</v>
      </c>
      <c r="S149" s="312"/>
    </row>
    <row r="150" s="379" customFormat="true" ht="14.9" hidden="false" customHeight="false" outlineLevel="0" collapsed="false">
      <c r="A150" s="403" t="n">
        <v>140</v>
      </c>
      <c r="B150" s="381" t="str">
        <f aca="false">CONCATENATE(INT((A150-1)/12)+1,"-й год ",A150-1-INT((A150-1)/12)*12+1,"-й мес")</f>
        <v>12-й год 8-й мес</v>
      </c>
      <c r="C150" s="382" t="n">
        <f aca="false">DATE(YEAR(C149),MONTH(C149)+1,DAY(C149))</f>
        <v>48122</v>
      </c>
      <c r="D150" s="383" t="n">
        <f aca="false">IFERROR(IF(R150*$D$4/100/12/(1-(1+$D$4/100/12)^(-Q150))&lt;G149,ROUNDUP(R150*$D$4/100/12/(1-(1+$D$4/100/12)^(-Q150)),0),G149+F150),0)</f>
        <v>0</v>
      </c>
      <c r="E150" s="384" t="n">
        <f aca="false">D150-F150</f>
        <v>0</v>
      </c>
      <c r="F150" s="384" t="n">
        <f aca="false">G149*$D$4*(C150-C149)/(DATE(YEAR(C150)+1,1,1)-DATE(YEAR(C150),1,1))/100</f>
        <v>0</v>
      </c>
      <c r="G150" s="385" t="n">
        <f aca="false">G149-E150-L150-M150</f>
        <v>0</v>
      </c>
      <c r="H150" s="386" t="n">
        <f aca="false">IFERROR(I150+J150,0)</f>
        <v>0</v>
      </c>
      <c r="I150" s="384" t="n">
        <f aca="false">IFERROR(IF($D$3/$D$5&lt;K149,$D$3/$D$5,K149),0)</f>
        <v>0</v>
      </c>
      <c r="J150" s="384" t="n">
        <f aca="false">K149*$D$4/12/100</f>
        <v>0</v>
      </c>
      <c r="K150" s="387" t="n">
        <f aca="false">K149-I150-L150-M150</f>
        <v>0</v>
      </c>
      <c r="L150" s="388"/>
      <c r="M150" s="389"/>
      <c r="N150" s="409"/>
      <c r="O150" s="409"/>
      <c r="P150" s="391" t="n">
        <f aca="false">IF(ISBLANK(L149),VALUE(P149),ROW(L149))</f>
        <v>10</v>
      </c>
      <c r="Q150" s="314" t="n">
        <f aca="false">Q149+P149-P150</f>
        <v>12</v>
      </c>
      <c r="R150" s="314" t="n">
        <f aca="false">INDEX(G:G,P150,1)</f>
        <v>69000</v>
      </c>
      <c r="S150" s="312"/>
    </row>
    <row r="151" s="379" customFormat="true" ht="14.9" hidden="false" customHeight="false" outlineLevel="0" collapsed="false">
      <c r="A151" s="403" t="n">
        <v>141</v>
      </c>
      <c r="B151" s="381" t="str">
        <f aca="false">CONCATENATE(INT((A151-1)/12)+1,"-й год ",A151-1-INT((A151-1)/12)*12+1,"-й мес")</f>
        <v>12-й год 9-й мес</v>
      </c>
      <c r="C151" s="382" t="n">
        <f aca="false">DATE(YEAR(C150),MONTH(C150)+1,DAY(C150))</f>
        <v>48153</v>
      </c>
      <c r="D151" s="383" t="n">
        <f aca="false">IFERROR(IF(R151*$D$4/100/12/(1-(1+$D$4/100/12)^(-Q151))&lt;G150,ROUNDUP(R151*$D$4/100/12/(1-(1+$D$4/100/12)^(-Q151)),0),G150+F151),0)</f>
        <v>0</v>
      </c>
      <c r="E151" s="384" t="n">
        <f aca="false">D151-F151</f>
        <v>0</v>
      </c>
      <c r="F151" s="384" t="n">
        <f aca="false">G150*$D$4*(C151-C150)/(DATE(YEAR(C151)+1,1,1)-DATE(YEAR(C151),1,1))/100</f>
        <v>0</v>
      </c>
      <c r="G151" s="385" t="n">
        <f aca="false">G150-E151-L151-M151</f>
        <v>0</v>
      </c>
      <c r="H151" s="386" t="n">
        <f aca="false">IFERROR(I151+J151,0)</f>
        <v>0</v>
      </c>
      <c r="I151" s="384" t="n">
        <f aca="false">IFERROR(IF($D$3/$D$5&lt;K150,$D$3/$D$5,K150),0)</f>
        <v>0</v>
      </c>
      <c r="J151" s="384" t="n">
        <f aca="false">K150*$D$4/12/100</f>
        <v>0</v>
      </c>
      <c r="K151" s="387" t="n">
        <f aca="false">K150-I151-L151-M151</f>
        <v>0</v>
      </c>
      <c r="L151" s="388"/>
      <c r="M151" s="389"/>
      <c r="N151" s="409"/>
      <c r="O151" s="409"/>
      <c r="P151" s="391" t="n">
        <f aca="false">IF(ISBLANK(L150),VALUE(P150),ROW(L150))</f>
        <v>10</v>
      </c>
      <c r="Q151" s="314" t="n">
        <f aca="false">Q150+P150-P151</f>
        <v>12</v>
      </c>
      <c r="R151" s="314" t="n">
        <f aca="false">INDEX(G:G,P151,1)</f>
        <v>69000</v>
      </c>
      <c r="S151" s="312"/>
    </row>
    <row r="152" s="379" customFormat="true" ht="14.9" hidden="false" customHeight="false" outlineLevel="0" collapsed="false">
      <c r="A152" s="403" t="n">
        <v>142</v>
      </c>
      <c r="B152" s="381" t="str">
        <f aca="false">CONCATENATE(INT((A152-1)/12)+1,"-й год ",A152-1-INT((A152-1)/12)*12+1,"-й мес")</f>
        <v>12-й год 10-й мес</v>
      </c>
      <c r="C152" s="382" t="n">
        <f aca="false">DATE(YEAR(C151),MONTH(C151)+1,DAY(C151))</f>
        <v>48183</v>
      </c>
      <c r="D152" s="383" t="n">
        <f aca="false">IFERROR(IF(R152*$D$4/100/12/(1-(1+$D$4/100/12)^(-Q152))&lt;G151,ROUNDUP(R152*$D$4/100/12/(1-(1+$D$4/100/12)^(-Q152)),0),G151+F152),0)</f>
        <v>0</v>
      </c>
      <c r="E152" s="384" t="n">
        <f aca="false">D152-F152</f>
        <v>0</v>
      </c>
      <c r="F152" s="384" t="n">
        <f aca="false">G151*$D$4*(C152-C151)/(DATE(YEAR(C152)+1,1,1)-DATE(YEAR(C152),1,1))/100</f>
        <v>0</v>
      </c>
      <c r="G152" s="385" t="n">
        <f aca="false">G151-E152-L152-M152</f>
        <v>0</v>
      </c>
      <c r="H152" s="386" t="n">
        <f aca="false">IFERROR(I152+J152,0)</f>
        <v>0</v>
      </c>
      <c r="I152" s="384" t="n">
        <f aca="false">IFERROR(IF($D$3/$D$5&lt;K151,$D$3/$D$5,K151),0)</f>
        <v>0</v>
      </c>
      <c r="J152" s="384" t="n">
        <f aca="false">K151*$D$4/12/100</f>
        <v>0</v>
      </c>
      <c r="K152" s="387" t="n">
        <f aca="false">K151-I152-L152-M152</f>
        <v>0</v>
      </c>
      <c r="L152" s="388"/>
      <c r="M152" s="389"/>
      <c r="N152" s="409"/>
      <c r="O152" s="409"/>
      <c r="P152" s="391" t="n">
        <f aca="false">IF(ISBLANK(L151),VALUE(P151),ROW(L151))</f>
        <v>10</v>
      </c>
      <c r="Q152" s="314" t="n">
        <f aca="false">Q151+P151-P152</f>
        <v>12</v>
      </c>
      <c r="R152" s="314" t="n">
        <f aca="false">INDEX(G:G,P152,1)</f>
        <v>69000</v>
      </c>
      <c r="S152" s="312"/>
    </row>
    <row r="153" s="379" customFormat="true" ht="14.9" hidden="false" customHeight="false" outlineLevel="0" collapsed="false">
      <c r="A153" s="403" t="n">
        <v>143</v>
      </c>
      <c r="B153" s="381" t="str">
        <f aca="false">CONCATENATE(INT((A153-1)/12)+1,"-й год ",A153-1-INT((A153-1)/12)*12+1,"-й мес")</f>
        <v>12-й год 11-й мес</v>
      </c>
      <c r="C153" s="382" t="n">
        <f aca="false">DATE(YEAR(C152),MONTH(C152)+1,DAY(C152))</f>
        <v>48214</v>
      </c>
      <c r="D153" s="383" t="n">
        <f aca="false">IFERROR(IF(R153*$D$4/100/12/(1-(1+$D$4/100/12)^(-Q153))&lt;G152,ROUNDUP(R153*$D$4/100/12/(1-(1+$D$4/100/12)^(-Q153)),0),G152+F153),0)</f>
        <v>0</v>
      </c>
      <c r="E153" s="384" t="n">
        <f aca="false">D153-F153</f>
        <v>0</v>
      </c>
      <c r="F153" s="384" t="n">
        <f aca="false">G152*$D$4*(C153-C152)/(DATE(YEAR(C153)+1,1,1)-DATE(YEAR(C153),1,1))/100</f>
        <v>0</v>
      </c>
      <c r="G153" s="385" t="n">
        <f aca="false">G152-E153-L153-M153</f>
        <v>0</v>
      </c>
      <c r="H153" s="386" t="n">
        <f aca="false">IFERROR(I153+J153,0)</f>
        <v>0</v>
      </c>
      <c r="I153" s="384" t="n">
        <f aca="false">IFERROR(IF($D$3/$D$5&lt;K152,$D$3/$D$5,K152),0)</f>
        <v>0</v>
      </c>
      <c r="J153" s="384" t="n">
        <f aca="false">K152*$D$4/12/100</f>
        <v>0</v>
      </c>
      <c r="K153" s="387" t="n">
        <f aca="false">K152-I153-L153-M153</f>
        <v>0</v>
      </c>
      <c r="L153" s="388"/>
      <c r="M153" s="389"/>
      <c r="N153" s="409"/>
      <c r="O153" s="409"/>
      <c r="P153" s="391" t="n">
        <f aca="false">IF(ISBLANK(L152),VALUE(P152),ROW(L152))</f>
        <v>10</v>
      </c>
      <c r="Q153" s="314" t="n">
        <f aca="false">Q152+P152-P153</f>
        <v>12</v>
      </c>
      <c r="R153" s="314" t="n">
        <f aca="false">INDEX(G:G,P153,1)</f>
        <v>69000</v>
      </c>
      <c r="S153" s="312"/>
    </row>
    <row r="154" s="379" customFormat="true" ht="14.9" hidden="false" customHeight="false" outlineLevel="0" collapsed="false">
      <c r="A154" s="404" t="n">
        <v>144</v>
      </c>
      <c r="B154" s="392" t="str">
        <f aca="false">CONCATENATE(INT((A154-1)/12)+1,"-й год ",A154-1-INT((A154-1)/12)*12+1,"-й мес")</f>
        <v>12-й год 12-й мес</v>
      </c>
      <c r="C154" s="393" t="n">
        <f aca="false">DATE(YEAR(C153),MONTH(C153)+1,DAY(C153))</f>
        <v>48245</v>
      </c>
      <c r="D154" s="394" t="n">
        <f aca="false">IFERROR(IF(R154*$D$4/100/12/(1-(1+$D$4/100/12)^(-Q154))&lt;G153,ROUNDUP(R154*$D$4/100/12/(1-(1+$D$4/100/12)^(-Q154)),0),G153+F154),0)</f>
        <v>0</v>
      </c>
      <c r="E154" s="395" t="n">
        <f aca="false">D154-F154</f>
        <v>0</v>
      </c>
      <c r="F154" s="395" t="n">
        <f aca="false">G153*$D$4*(C154-C153)/(DATE(YEAR(C154)+1,1,1)-DATE(YEAR(C154),1,1))/100</f>
        <v>0</v>
      </c>
      <c r="G154" s="405" t="n">
        <f aca="false">G153-E154-L154-M154</f>
        <v>0</v>
      </c>
      <c r="H154" s="406" t="n">
        <f aca="false">IFERROR(I154+J154,0)</f>
        <v>0</v>
      </c>
      <c r="I154" s="395" t="n">
        <f aca="false">IFERROR(IF($D$3/$D$5&lt;K153,$D$3/$D$5,K153),0)</f>
        <v>0</v>
      </c>
      <c r="J154" s="395" t="n">
        <f aca="false">K153*$D$4/12/100</f>
        <v>0</v>
      </c>
      <c r="K154" s="407" t="n">
        <f aca="false">K153-I154-L154-M154</f>
        <v>0</v>
      </c>
      <c r="L154" s="408"/>
      <c r="M154" s="410"/>
      <c r="N154" s="409"/>
      <c r="O154" s="409"/>
      <c r="P154" s="391" t="n">
        <f aca="false">IF(ISBLANK(L153),VALUE(P153),ROW(L153))</f>
        <v>10</v>
      </c>
      <c r="Q154" s="314" t="n">
        <f aca="false">Q153+P153-P154</f>
        <v>12</v>
      </c>
      <c r="R154" s="314" t="n">
        <f aca="false">INDEX(G:G,P154,1)</f>
        <v>69000</v>
      </c>
      <c r="S154" s="312"/>
    </row>
    <row r="155" s="379" customFormat="true" ht="14.9" hidden="false" customHeight="false" outlineLevel="0" collapsed="false">
      <c r="A155" s="380" t="n">
        <v>145</v>
      </c>
      <c r="B155" s="381" t="str">
        <f aca="false">CONCATENATE(INT((A155-1)/12)+1,"-й год ",A155-1-INT((A155-1)/12)*12+1,"-й мес")</f>
        <v>13-й год 1-й мес</v>
      </c>
      <c r="C155" s="382" t="n">
        <f aca="false">DATE(YEAR(C154),MONTH(C154)+1,DAY(C154))</f>
        <v>48274</v>
      </c>
      <c r="D155" s="383" t="n">
        <f aca="false">IFERROR(IF(R155*$D$4/100/12/(1-(1+$D$4/100/12)^(-Q155))&lt;G154,ROUNDUP(R155*$D$4/100/12/(1-(1+$D$4/100/12)^(-Q155)),0),G154+F155),0)</f>
        <v>0</v>
      </c>
      <c r="E155" s="384" t="n">
        <f aca="false">D155-F155</f>
        <v>0</v>
      </c>
      <c r="F155" s="384" t="n">
        <f aca="false">G154*$D$4*(C155-C154)/(DATE(YEAR(C155)+1,1,1)-DATE(YEAR(C155),1,1))/100</f>
        <v>0</v>
      </c>
      <c r="G155" s="385" t="n">
        <f aca="false">G154-E155-L155-M155</f>
        <v>0</v>
      </c>
      <c r="H155" s="386" t="n">
        <f aca="false">IFERROR(I155+J155,0)</f>
        <v>0</v>
      </c>
      <c r="I155" s="384" t="n">
        <f aca="false">IFERROR(IF($D$3/$D$5&lt;K154,$D$3/$D$5,K154),0)</f>
        <v>0</v>
      </c>
      <c r="J155" s="384" t="n">
        <f aca="false">K154*$D$4/12/100</f>
        <v>0</v>
      </c>
      <c r="K155" s="387" t="n">
        <f aca="false">K154-I155-L155-M155</f>
        <v>0</v>
      </c>
      <c r="L155" s="388"/>
      <c r="M155" s="389"/>
      <c r="N155" s="409"/>
      <c r="O155" s="409"/>
      <c r="P155" s="391" t="n">
        <f aca="false">IF(ISBLANK(L154),VALUE(P154),ROW(L154))</f>
        <v>10</v>
      </c>
      <c r="Q155" s="314" t="n">
        <f aca="false">Q154+P154-P155</f>
        <v>12</v>
      </c>
      <c r="R155" s="314" t="n">
        <f aca="false">INDEX(G:G,P155,1)</f>
        <v>69000</v>
      </c>
      <c r="S155" s="312"/>
    </row>
    <row r="156" s="379" customFormat="true" ht="14.9" hidden="false" customHeight="false" outlineLevel="0" collapsed="false">
      <c r="A156" s="380" t="n">
        <v>146</v>
      </c>
      <c r="B156" s="381" t="str">
        <f aca="false">CONCATENATE(INT((A156-1)/12)+1,"-й год ",A156-1-INT((A156-1)/12)*12+1,"-й мес")</f>
        <v>13-й год 2-й мес</v>
      </c>
      <c r="C156" s="382" t="n">
        <f aca="false">DATE(YEAR(C155),MONTH(C155)+1,DAY(C155))</f>
        <v>48305</v>
      </c>
      <c r="D156" s="383" t="n">
        <f aca="false">IFERROR(IF(R156*$D$4/100/12/(1-(1+$D$4/100/12)^(-Q156))&lt;G155,ROUNDUP(R156*$D$4/100/12/(1-(1+$D$4/100/12)^(-Q156)),0),G155+F156),0)</f>
        <v>0</v>
      </c>
      <c r="E156" s="384" t="n">
        <f aca="false">D156-F156</f>
        <v>0</v>
      </c>
      <c r="F156" s="384" t="n">
        <f aca="false">G155*$D$4*(C156-C155)/(DATE(YEAR(C156)+1,1,1)-DATE(YEAR(C156),1,1))/100</f>
        <v>0</v>
      </c>
      <c r="G156" s="385" t="n">
        <f aca="false">G155-E156-L156-M156</f>
        <v>0</v>
      </c>
      <c r="H156" s="386" t="n">
        <f aca="false">IFERROR(I156+J156,0)</f>
        <v>0</v>
      </c>
      <c r="I156" s="384" t="n">
        <f aca="false">IFERROR(IF($D$3/$D$5&lt;K155,$D$3/$D$5,K155),0)</f>
        <v>0</v>
      </c>
      <c r="J156" s="384" t="n">
        <f aca="false">K155*$D$4/12/100</f>
        <v>0</v>
      </c>
      <c r="K156" s="387" t="n">
        <f aca="false">K155-I156-L156-M156</f>
        <v>0</v>
      </c>
      <c r="L156" s="388"/>
      <c r="M156" s="389"/>
      <c r="N156" s="409"/>
      <c r="O156" s="409"/>
      <c r="P156" s="391" t="n">
        <f aca="false">IF(ISBLANK(L155),VALUE(P155),ROW(L155))</f>
        <v>10</v>
      </c>
      <c r="Q156" s="314" t="n">
        <f aca="false">Q155+P155-P156</f>
        <v>12</v>
      </c>
      <c r="R156" s="314" t="n">
        <f aca="false">INDEX(G:G,P156,1)</f>
        <v>69000</v>
      </c>
      <c r="S156" s="312"/>
    </row>
    <row r="157" s="379" customFormat="true" ht="14.9" hidden="false" customHeight="false" outlineLevel="0" collapsed="false">
      <c r="A157" s="380" t="n">
        <v>147</v>
      </c>
      <c r="B157" s="381" t="str">
        <f aca="false">CONCATENATE(INT((A157-1)/12)+1,"-й год ",A157-1-INT((A157-1)/12)*12+1,"-й мес")</f>
        <v>13-й год 3-й мес</v>
      </c>
      <c r="C157" s="382" t="n">
        <f aca="false">DATE(YEAR(C156),MONTH(C156)+1,DAY(C156))</f>
        <v>48335</v>
      </c>
      <c r="D157" s="383" t="n">
        <f aca="false">IFERROR(IF(R157*$D$4/100/12/(1-(1+$D$4/100/12)^(-Q157))&lt;G156,ROUNDUP(R157*$D$4/100/12/(1-(1+$D$4/100/12)^(-Q157)),0),G156+F157),0)</f>
        <v>0</v>
      </c>
      <c r="E157" s="384" t="n">
        <f aca="false">D157-F157</f>
        <v>0</v>
      </c>
      <c r="F157" s="384" t="n">
        <f aca="false">G156*$D$4*(C157-C156)/(DATE(YEAR(C157)+1,1,1)-DATE(YEAR(C157),1,1))/100</f>
        <v>0</v>
      </c>
      <c r="G157" s="385" t="n">
        <f aca="false">G156-E157-L157-M157</f>
        <v>0</v>
      </c>
      <c r="H157" s="386" t="n">
        <f aca="false">IFERROR(I157+J157,0)</f>
        <v>0</v>
      </c>
      <c r="I157" s="384" t="n">
        <f aca="false">IFERROR(IF($D$3/$D$5&lt;K156,$D$3/$D$5,K156),0)</f>
        <v>0</v>
      </c>
      <c r="J157" s="384" t="n">
        <f aca="false">K156*$D$4/12/100</f>
        <v>0</v>
      </c>
      <c r="K157" s="387" t="n">
        <f aca="false">K156-I157-L157-M157</f>
        <v>0</v>
      </c>
      <c r="L157" s="388"/>
      <c r="M157" s="389"/>
      <c r="N157" s="409"/>
      <c r="O157" s="409"/>
      <c r="P157" s="391" t="n">
        <f aca="false">IF(ISBLANK(L156),VALUE(P156),ROW(L156))</f>
        <v>10</v>
      </c>
      <c r="Q157" s="314" t="n">
        <f aca="false">Q156+P156-P157</f>
        <v>12</v>
      </c>
      <c r="R157" s="314" t="n">
        <f aca="false">INDEX(G:G,P157,1)</f>
        <v>69000</v>
      </c>
      <c r="S157" s="312"/>
    </row>
    <row r="158" s="379" customFormat="true" ht="14.9" hidden="false" customHeight="false" outlineLevel="0" collapsed="false">
      <c r="A158" s="380" t="n">
        <v>148</v>
      </c>
      <c r="B158" s="381" t="str">
        <f aca="false">CONCATENATE(INT((A158-1)/12)+1,"-й год ",A158-1-INT((A158-1)/12)*12+1,"-й мес")</f>
        <v>13-й год 4-й мес</v>
      </c>
      <c r="C158" s="382" t="n">
        <f aca="false">DATE(YEAR(C157),MONTH(C157)+1,DAY(C157))</f>
        <v>48366</v>
      </c>
      <c r="D158" s="383" t="n">
        <f aca="false">IFERROR(IF(R158*$D$4/100/12/(1-(1+$D$4/100/12)^(-Q158))&lt;G157,ROUNDUP(R158*$D$4/100/12/(1-(1+$D$4/100/12)^(-Q158)),0),G157+F158),0)</f>
        <v>0</v>
      </c>
      <c r="E158" s="384" t="n">
        <f aca="false">D158-F158</f>
        <v>0</v>
      </c>
      <c r="F158" s="384" t="n">
        <f aca="false">G157*$D$4*(C158-C157)/(DATE(YEAR(C158)+1,1,1)-DATE(YEAR(C158),1,1))/100</f>
        <v>0</v>
      </c>
      <c r="G158" s="385" t="n">
        <f aca="false">G157-E158-L158-M158</f>
        <v>0</v>
      </c>
      <c r="H158" s="386" t="n">
        <f aca="false">IFERROR(I158+J158,0)</f>
        <v>0</v>
      </c>
      <c r="I158" s="384" t="n">
        <f aca="false">IFERROR(IF($D$3/$D$5&lt;K157,$D$3/$D$5,K157),0)</f>
        <v>0</v>
      </c>
      <c r="J158" s="384" t="n">
        <f aca="false">K157*$D$4/12/100</f>
        <v>0</v>
      </c>
      <c r="K158" s="387" t="n">
        <f aca="false">K157-I158-L158-M158</f>
        <v>0</v>
      </c>
      <c r="L158" s="388"/>
      <c r="M158" s="389"/>
      <c r="N158" s="409"/>
      <c r="O158" s="409"/>
      <c r="P158" s="391" t="n">
        <f aca="false">IF(ISBLANK(L157),VALUE(P157),ROW(L157))</f>
        <v>10</v>
      </c>
      <c r="Q158" s="314" t="n">
        <f aca="false">Q157+P157-P158</f>
        <v>12</v>
      </c>
      <c r="R158" s="314" t="n">
        <f aca="false">INDEX(G:G,P158,1)</f>
        <v>69000</v>
      </c>
      <c r="S158" s="312"/>
    </row>
    <row r="159" s="379" customFormat="true" ht="14.9" hidden="false" customHeight="false" outlineLevel="0" collapsed="false">
      <c r="A159" s="380" t="n">
        <v>149</v>
      </c>
      <c r="B159" s="381" t="str">
        <f aca="false">CONCATENATE(INT((A159-1)/12)+1,"-й год ",A159-1-INT((A159-1)/12)*12+1,"-й мес")</f>
        <v>13-й год 5-й мес</v>
      </c>
      <c r="C159" s="382" t="n">
        <f aca="false">DATE(YEAR(C158),MONTH(C158)+1,DAY(C158))</f>
        <v>48396</v>
      </c>
      <c r="D159" s="383" t="n">
        <f aca="false">IFERROR(IF(R159*$D$4/100/12/(1-(1+$D$4/100/12)^(-Q159))&lt;G158,ROUNDUP(R159*$D$4/100/12/(1-(1+$D$4/100/12)^(-Q159)),0),G158+F159),0)</f>
        <v>0</v>
      </c>
      <c r="E159" s="384" t="n">
        <f aca="false">D159-F159</f>
        <v>0</v>
      </c>
      <c r="F159" s="384" t="n">
        <f aca="false">G158*$D$4*(C159-C158)/(DATE(YEAR(C159)+1,1,1)-DATE(YEAR(C159),1,1))/100</f>
        <v>0</v>
      </c>
      <c r="G159" s="385" t="n">
        <f aca="false">G158-E159-L159-M159</f>
        <v>0</v>
      </c>
      <c r="H159" s="386" t="n">
        <f aca="false">IFERROR(I159+J159,0)</f>
        <v>0</v>
      </c>
      <c r="I159" s="384" t="n">
        <f aca="false">IFERROR(IF($D$3/$D$5&lt;K158,$D$3/$D$5,K158),0)</f>
        <v>0</v>
      </c>
      <c r="J159" s="384" t="n">
        <f aca="false">K158*$D$4/12/100</f>
        <v>0</v>
      </c>
      <c r="K159" s="387" t="n">
        <f aca="false">K158-I159-L159-M159</f>
        <v>0</v>
      </c>
      <c r="L159" s="388"/>
      <c r="M159" s="389"/>
      <c r="N159" s="409"/>
      <c r="O159" s="409"/>
      <c r="P159" s="391" t="n">
        <f aca="false">IF(ISBLANK(L158),VALUE(P158),ROW(L158))</f>
        <v>10</v>
      </c>
      <c r="Q159" s="314" t="n">
        <f aca="false">Q158+P158-P159</f>
        <v>12</v>
      </c>
      <c r="R159" s="314" t="n">
        <f aca="false">INDEX(G:G,P159,1)</f>
        <v>69000</v>
      </c>
      <c r="S159" s="312"/>
    </row>
    <row r="160" s="379" customFormat="true" ht="14.9" hidden="false" customHeight="false" outlineLevel="0" collapsed="false">
      <c r="A160" s="380" t="n">
        <v>150</v>
      </c>
      <c r="B160" s="381" t="str">
        <f aca="false">CONCATENATE(INT((A160-1)/12)+1,"-й год ",A160-1-INT((A160-1)/12)*12+1,"-й мес")</f>
        <v>13-й год 6-й мес</v>
      </c>
      <c r="C160" s="382" t="n">
        <f aca="false">DATE(YEAR(C159),MONTH(C159)+1,DAY(C159))</f>
        <v>48427</v>
      </c>
      <c r="D160" s="383" t="n">
        <f aca="false">IFERROR(IF(R160*$D$4/100/12/(1-(1+$D$4/100/12)^(-Q160))&lt;G159,ROUNDUP(R160*$D$4/100/12/(1-(1+$D$4/100/12)^(-Q160)),0),G159+F160),0)</f>
        <v>0</v>
      </c>
      <c r="E160" s="384" t="n">
        <f aca="false">D160-F160</f>
        <v>0</v>
      </c>
      <c r="F160" s="384" t="n">
        <f aca="false">G159*$D$4*(C160-C159)/(DATE(YEAR(C160)+1,1,1)-DATE(YEAR(C160),1,1))/100</f>
        <v>0</v>
      </c>
      <c r="G160" s="385" t="n">
        <f aca="false">G159-E160-L160-M160</f>
        <v>0</v>
      </c>
      <c r="H160" s="386" t="n">
        <f aca="false">IFERROR(I160+J160,0)</f>
        <v>0</v>
      </c>
      <c r="I160" s="384" t="n">
        <f aca="false">IFERROR(IF($D$3/$D$5&lt;K159,$D$3/$D$5,K159),0)</f>
        <v>0</v>
      </c>
      <c r="J160" s="384" t="n">
        <f aca="false">K159*$D$4/12/100</f>
        <v>0</v>
      </c>
      <c r="K160" s="387" t="n">
        <f aca="false">K159-I160-L160-M160</f>
        <v>0</v>
      </c>
      <c r="L160" s="388"/>
      <c r="M160" s="389"/>
      <c r="N160" s="409"/>
      <c r="O160" s="409"/>
      <c r="P160" s="391" t="n">
        <f aca="false">IF(ISBLANK(L159),VALUE(P159),ROW(L159))</f>
        <v>10</v>
      </c>
      <c r="Q160" s="314" t="n">
        <f aca="false">Q159+P159-P160</f>
        <v>12</v>
      </c>
      <c r="R160" s="314" t="n">
        <f aca="false">INDEX(G:G,P160,1)</f>
        <v>69000</v>
      </c>
      <c r="S160" s="312"/>
    </row>
    <row r="161" s="379" customFormat="true" ht="14.9" hidden="false" customHeight="false" outlineLevel="0" collapsed="false">
      <c r="A161" s="380" t="n">
        <v>151</v>
      </c>
      <c r="B161" s="381" t="str">
        <f aca="false">CONCATENATE(INT((A161-1)/12)+1,"-й год ",A161-1-INT((A161-1)/12)*12+1,"-й мес")</f>
        <v>13-й год 7-й мес</v>
      </c>
      <c r="C161" s="382" t="n">
        <f aca="false">DATE(YEAR(C160),MONTH(C160)+1,DAY(C160))</f>
        <v>48458</v>
      </c>
      <c r="D161" s="383" t="n">
        <f aca="false">IFERROR(IF(R161*$D$4/100/12/(1-(1+$D$4/100/12)^(-Q161))&lt;G160,ROUNDUP(R161*$D$4/100/12/(1-(1+$D$4/100/12)^(-Q161)),0),G160+F161),0)</f>
        <v>0</v>
      </c>
      <c r="E161" s="384" t="n">
        <f aca="false">D161-F161</f>
        <v>0</v>
      </c>
      <c r="F161" s="384" t="n">
        <f aca="false">G160*$D$4*(C161-C160)/(DATE(YEAR(C161)+1,1,1)-DATE(YEAR(C161),1,1))/100</f>
        <v>0</v>
      </c>
      <c r="G161" s="385" t="n">
        <f aca="false">G160-E161-L161-M161</f>
        <v>0</v>
      </c>
      <c r="H161" s="386" t="n">
        <f aca="false">IFERROR(I161+J161,0)</f>
        <v>0</v>
      </c>
      <c r="I161" s="384" t="n">
        <f aca="false">IFERROR(IF($D$3/$D$5&lt;K160,$D$3/$D$5,K160),0)</f>
        <v>0</v>
      </c>
      <c r="J161" s="384" t="n">
        <f aca="false">K160*$D$4/12/100</f>
        <v>0</v>
      </c>
      <c r="K161" s="387" t="n">
        <f aca="false">K160-I161-L161-M161</f>
        <v>0</v>
      </c>
      <c r="L161" s="388"/>
      <c r="M161" s="389"/>
      <c r="N161" s="409"/>
      <c r="O161" s="409"/>
      <c r="P161" s="391" t="n">
        <f aca="false">IF(ISBLANK(L160),VALUE(P160),ROW(L160))</f>
        <v>10</v>
      </c>
      <c r="Q161" s="314" t="n">
        <f aca="false">Q160+P160-P161</f>
        <v>12</v>
      </c>
      <c r="R161" s="314" t="n">
        <f aca="false">INDEX(G:G,P161,1)</f>
        <v>69000</v>
      </c>
      <c r="S161" s="312"/>
    </row>
    <row r="162" s="379" customFormat="true" ht="14.9" hidden="false" customHeight="false" outlineLevel="0" collapsed="false">
      <c r="A162" s="380" t="n">
        <v>152</v>
      </c>
      <c r="B162" s="381" t="str">
        <f aca="false">CONCATENATE(INT((A162-1)/12)+1,"-й год ",A162-1-INT((A162-1)/12)*12+1,"-й мес")</f>
        <v>13-й год 8-й мес</v>
      </c>
      <c r="C162" s="382" t="n">
        <f aca="false">DATE(YEAR(C161),MONTH(C161)+1,DAY(C161))</f>
        <v>48488</v>
      </c>
      <c r="D162" s="383" t="n">
        <f aca="false">IFERROR(IF(R162*$D$4/100/12/(1-(1+$D$4/100/12)^(-Q162))&lt;G161,ROUNDUP(R162*$D$4/100/12/(1-(1+$D$4/100/12)^(-Q162)),0),G161+F162),0)</f>
        <v>0</v>
      </c>
      <c r="E162" s="384" t="n">
        <f aca="false">D162-F162</f>
        <v>0</v>
      </c>
      <c r="F162" s="384" t="n">
        <f aca="false">G161*$D$4*(C162-C161)/(DATE(YEAR(C162)+1,1,1)-DATE(YEAR(C162),1,1))/100</f>
        <v>0</v>
      </c>
      <c r="G162" s="385" t="n">
        <f aca="false">G161-E162-L162-M162</f>
        <v>0</v>
      </c>
      <c r="H162" s="386" t="n">
        <f aca="false">IFERROR(I162+J162,0)</f>
        <v>0</v>
      </c>
      <c r="I162" s="384" t="n">
        <f aca="false">IFERROR(IF($D$3/$D$5&lt;K161,$D$3/$D$5,K161),0)</f>
        <v>0</v>
      </c>
      <c r="J162" s="384" t="n">
        <f aca="false">K161*$D$4/12/100</f>
        <v>0</v>
      </c>
      <c r="K162" s="387" t="n">
        <f aca="false">K161-I162-L162-M162</f>
        <v>0</v>
      </c>
      <c r="L162" s="388"/>
      <c r="M162" s="389"/>
      <c r="N162" s="409"/>
      <c r="O162" s="409"/>
      <c r="P162" s="391" t="n">
        <f aca="false">IF(ISBLANK(L161),VALUE(P161),ROW(L161))</f>
        <v>10</v>
      </c>
      <c r="Q162" s="314" t="n">
        <f aca="false">Q161+P161-P162</f>
        <v>12</v>
      </c>
      <c r="R162" s="314" t="n">
        <f aca="false">INDEX(G:G,P162,1)</f>
        <v>69000</v>
      </c>
      <c r="S162" s="312"/>
    </row>
    <row r="163" s="379" customFormat="true" ht="14.9" hidden="false" customHeight="false" outlineLevel="0" collapsed="false">
      <c r="A163" s="380" t="n">
        <v>153</v>
      </c>
      <c r="B163" s="381" t="str">
        <f aca="false">CONCATENATE(INT((A163-1)/12)+1,"-й год ",A163-1-INT((A163-1)/12)*12+1,"-й мес")</f>
        <v>13-й год 9-й мес</v>
      </c>
      <c r="C163" s="382" t="n">
        <f aca="false">DATE(YEAR(C162),MONTH(C162)+1,DAY(C162))</f>
        <v>48519</v>
      </c>
      <c r="D163" s="383" t="n">
        <f aca="false">IFERROR(IF(R163*$D$4/100/12/(1-(1+$D$4/100/12)^(-Q163))&lt;G162,ROUNDUP(R163*$D$4/100/12/(1-(1+$D$4/100/12)^(-Q163)),0),G162+F163),0)</f>
        <v>0</v>
      </c>
      <c r="E163" s="384" t="n">
        <f aca="false">D163-F163</f>
        <v>0</v>
      </c>
      <c r="F163" s="384" t="n">
        <f aca="false">G162*$D$4*(C163-C162)/(DATE(YEAR(C163)+1,1,1)-DATE(YEAR(C163),1,1))/100</f>
        <v>0</v>
      </c>
      <c r="G163" s="385" t="n">
        <f aca="false">G162-E163-L163-M163</f>
        <v>0</v>
      </c>
      <c r="H163" s="386" t="n">
        <f aca="false">IFERROR(I163+J163,0)</f>
        <v>0</v>
      </c>
      <c r="I163" s="384" t="n">
        <f aca="false">IFERROR(IF($D$3/$D$5&lt;K162,$D$3/$D$5,K162),0)</f>
        <v>0</v>
      </c>
      <c r="J163" s="384" t="n">
        <f aca="false">K162*$D$4/12/100</f>
        <v>0</v>
      </c>
      <c r="K163" s="387" t="n">
        <f aca="false">K162-I163-L163-M163</f>
        <v>0</v>
      </c>
      <c r="L163" s="388"/>
      <c r="M163" s="389"/>
      <c r="N163" s="409"/>
      <c r="O163" s="409"/>
      <c r="P163" s="391" t="n">
        <f aca="false">IF(ISBLANK(L162),VALUE(P162),ROW(L162))</f>
        <v>10</v>
      </c>
      <c r="Q163" s="314" t="n">
        <f aca="false">Q162+P162-P163</f>
        <v>12</v>
      </c>
      <c r="R163" s="314" t="n">
        <f aca="false">INDEX(G:G,P163,1)</f>
        <v>69000</v>
      </c>
      <c r="S163" s="312"/>
    </row>
    <row r="164" s="379" customFormat="true" ht="14.9" hidden="false" customHeight="false" outlineLevel="0" collapsed="false">
      <c r="A164" s="380" t="n">
        <v>154</v>
      </c>
      <c r="B164" s="381" t="str">
        <f aca="false">CONCATENATE(INT((A164-1)/12)+1,"-й год ",A164-1-INT((A164-1)/12)*12+1,"-й мес")</f>
        <v>13-й год 10-й мес</v>
      </c>
      <c r="C164" s="382" t="n">
        <f aca="false">DATE(YEAR(C163),MONTH(C163)+1,DAY(C163))</f>
        <v>48549</v>
      </c>
      <c r="D164" s="383" t="n">
        <f aca="false">IFERROR(IF(R164*$D$4/100/12/(1-(1+$D$4/100/12)^(-Q164))&lt;G163,ROUNDUP(R164*$D$4/100/12/(1-(1+$D$4/100/12)^(-Q164)),0),G163+F164),0)</f>
        <v>0</v>
      </c>
      <c r="E164" s="384" t="n">
        <f aca="false">D164-F164</f>
        <v>0</v>
      </c>
      <c r="F164" s="384" t="n">
        <f aca="false">G163*$D$4*(C164-C163)/(DATE(YEAR(C164)+1,1,1)-DATE(YEAR(C164),1,1))/100</f>
        <v>0</v>
      </c>
      <c r="G164" s="385" t="n">
        <f aca="false">G163-E164-L164-M164</f>
        <v>0</v>
      </c>
      <c r="H164" s="386" t="n">
        <f aca="false">IFERROR(I164+J164,0)</f>
        <v>0</v>
      </c>
      <c r="I164" s="384" t="n">
        <f aca="false">IFERROR(IF($D$3/$D$5&lt;K163,$D$3/$D$5,K163),0)</f>
        <v>0</v>
      </c>
      <c r="J164" s="384" t="n">
        <f aca="false">K163*$D$4/12/100</f>
        <v>0</v>
      </c>
      <c r="K164" s="387" t="n">
        <f aca="false">K163-I164-L164-M164</f>
        <v>0</v>
      </c>
      <c r="L164" s="388"/>
      <c r="M164" s="389"/>
      <c r="N164" s="409"/>
      <c r="O164" s="409"/>
      <c r="P164" s="391" t="n">
        <f aca="false">IF(ISBLANK(L163),VALUE(P163),ROW(L163))</f>
        <v>10</v>
      </c>
      <c r="Q164" s="314" t="n">
        <f aca="false">Q163+P163-P164</f>
        <v>12</v>
      </c>
      <c r="R164" s="314" t="n">
        <f aca="false">INDEX(G:G,P164,1)</f>
        <v>69000</v>
      </c>
      <c r="S164" s="312"/>
    </row>
    <row r="165" s="379" customFormat="true" ht="14.9" hidden="false" customHeight="false" outlineLevel="0" collapsed="false">
      <c r="A165" s="380" t="n">
        <v>155</v>
      </c>
      <c r="B165" s="381" t="str">
        <f aca="false">CONCATENATE(INT((A165-1)/12)+1,"-й год ",A165-1-INT((A165-1)/12)*12+1,"-й мес")</f>
        <v>13-й год 11-й мес</v>
      </c>
      <c r="C165" s="382" t="n">
        <f aca="false">DATE(YEAR(C164),MONTH(C164)+1,DAY(C164))</f>
        <v>48580</v>
      </c>
      <c r="D165" s="383" t="n">
        <f aca="false">IFERROR(IF(R165*$D$4/100/12/(1-(1+$D$4/100/12)^(-Q165))&lt;G164,ROUNDUP(R165*$D$4/100/12/(1-(1+$D$4/100/12)^(-Q165)),0),G164+F165),0)</f>
        <v>0</v>
      </c>
      <c r="E165" s="384" t="n">
        <f aca="false">D165-F165</f>
        <v>0</v>
      </c>
      <c r="F165" s="384" t="n">
        <f aca="false">G164*$D$4*(C165-C164)/(DATE(YEAR(C165)+1,1,1)-DATE(YEAR(C165),1,1))/100</f>
        <v>0</v>
      </c>
      <c r="G165" s="385" t="n">
        <f aca="false">G164-E165-L165-M165</f>
        <v>0</v>
      </c>
      <c r="H165" s="386" t="n">
        <f aca="false">IFERROR(I165+J165,0)</f>
        <v>0</v>
      </c>
      <c r="I165" s="384" t="n">
        <f aca="false">IFERROR(IF($D$3/$D$5&lt;K164,$D$3/$D$5,K164),0)</f>
        <v>0</v>
      </c>
      <c r="J165" s="384" t="n">
        <f aca="false">K164*$D$4/12/100</f>
        <v>0</v>
      </c>
      <c r="K165" s="387" t="n">
        <f aca="false">K164-I165-L165-M165</f>
        <v>0</v>
      </c>
      <c r="L165" s="388"/>
      <c r="M165" s="389"/>
      <c r="N165" s="409"/>
      <c r="O165" s="409"/>
      <c r="P165" s="391" t="n">
        <f aca="false">IF(ISBLANK(L164),VALUE(P164),ROW(L164))</f>
        <v>10</v>
      </c>
      <c r="Q165" s="314" t="n">
        <f aca="false">Q164+P164-P165</f>
        <v>12</v>
      </c>
      <c r="R165" s="314" t="n">
        <f aca="false">INDEX(G:G,P165,1)</f>
        <v>69000</v>
      </c>
      <c r="S165" s="312"/>
    </row>
    <row r="166" s="379" customFormat="true" ht="14.9" hidden="false" customHeight="false" outlineLevel="0" collapsed="false">
      <c r="A166" s="380" t="n">
        <v>156</v>
      </c>
      <c r="B166" s="392" t="str">
        <f aca="false">CONCATENATE(INT((A166-1)/12)+1,"-й год ",A166-1-INT((A166-1)/12)*12+1,"-й мес")</f>
        <v>13-й год 12-й мес</v>
      </c>
      <c r="C166" s="393" t="n">
        <f aca="false">DATE(YEAR(C165),MONTH(C165)+1,DAY(C165))</f>
        <v>48611</v>
      </c>
      <c r="D166" s="394" t="n">
        <f aca="false">IFERROR(IF(R166*$D$4/100/12/(1-(1+$D$4/100/12)^(-Q166))&lt;G165,ROUNDUP(R166*$D$4/100/12/(1-(1+$D$4/100/12)^(-Q166)),0),G165+F166),0)</f>
        <v>0</v>
      </c>
      <c r="E166" s="395" t="n">
        <f aca="false">D166-F166</f>
        <v>0</v>
      </c>
      <c r="F166" s="395" t="n">
        <f aca="false">G165*$D$4*(C166-C165)/(DATE(YEAR(C166)+1,1,1)-DATE(YEAR(C166),1,1))/100</f>
        <v>0</v>
      </c>
      <c r="G166" s="385" t="n">
        <f aca="false">G165-E166-L166-M166</f>
        <v>0</v>
      </c>
      <c r="H166" s="386" t="n">
        <f aca="false">IFERROR(I166+J166,0)</f>
        <v>0</v>
      </c>
      <c r="I166" s="384" t="n">
        <f aca="false">IFERROR(IF($D$3/$D$5&lt;K165,$D$3/$D$5,K165),0)</f>
        <v>0</v>
      </c>
      <c r="J166" s="384" t="n">
        <f aca="false">K165*$D$4/12/100</f>
        <v>0</v>
      </c>
      <c r="K166" s="387" t="n">
        <f aca="false">K165-I166-L166-M166</f>
        <v>0</v>
      </c>
      <c r="L166" s="388"/>
      <c r="M166" s="389"/>
      <c r="N166" s="409"/>
      <c r="O166" s="409"/>
      <c r="P166" s="391" t="n">
        <f aca="false">IF(ISBLANK(L165),VALUE(P165),ROW(L165))</f>
        <v>10</v>
      </c>
      <c r="Q166" s="314" t="n">
        <f aca="false">Q165+P165-P166</f>
        <v>12</v>
      </c>
      <c r="R166" s="314" t="n">
        <f aca="false">INDEX(G:G,P166,1)</f>
        <v>69000</v>
      </c>
      <c r="S166" s="312"/>
    </row>
    <row r="167" s="379" customFormat="true" ht="14.9" hidden="false" customHeight="false" outlineLevel="0" collapsed="false">
      <c r="A167" s="396" t="n">
        <v>157</v>
      </c>
      <c r="B167" s="381" t="str">
        <f aca="false">CONCATENATE(INT((A167-1)/12)+1,"-й год ",A167-1-INT((A167-1)/12)*12+1,"-й мес")</f>
        <v>14-й год 1-й мес</v>
      </c>
      <c r="C167" s="382" t="n">
        <f aca="false">DATE(YEAR(C166),MONTH(C166)+1,DAY(C166))</f>
        <v>48639</v>
      </c>
      <c r="D167" s="383" t="n">
        <f aca="false">IFERROR(IF(R167*$D$4/100/12/(1-(1+$D$4/100/12)^(-Q167))&lt;G166,ROUNDUP(R167*$D$4/100/12/(1-(1+$D$4/100/12)^(-Q167)),0),G166+F167),0)</f>
        <v>0</v>
      </c>
      <c r="E167" s="384" t="n">
        <f aca="false">D167-F167</f>
        <v>0</v>
      </c>
      <c r="F167" s="384" t="n">
        <f aca="false">G166*$D$4*(C167-C166)/(DATE(YEAR(C167)+1,1,1)-DATE(YEAR(C167),1,1))/100</f>
        <v>0</v>
      </c>
      <c r="G167" s="397" t="n">
        <f aca="false">G166-E167-L167-M167</f>
        <v>0</v>
      </c>
      <c r="H167" s="398" t="n">
        <f aca="false">IFERROR(I167+J167,0)</f>
        <v>0</v>
      </c>
      <c r="I167" s="399" t="n">
        <f aca="false">IFERROR(IF($D$3/$D$5&lt;K166,$D$3/$D$5,K166),0)</f>
        <v>0</v>
      </c>
      <c r="J167" s="399" t="n">
        <f aca="false">K166*$D$4/12/100</f>
        <v>0</v>
      </c>
      <c r="K167" s="400" t="n">
        <f aca="false">K166-I167-L167-M167</f>
        <v>0</v>
      </c>
      <c r="L167" s="401"/>
      <c r="M167" s="402"/>
      <c r="N167" s="409"/>
      <c r="O167" s="409"/>
      <c r="P167" s="391" t="n">
        <f aca="false">IF(ISBLANK(L166),VALUE(P166),ROW(L166))</f>
        <v>10</v>
      </c>
      <c r="Q167" s="314" t="n">
        <f aca="false">Q166+P166-P167</f>
        <v>12</v>
      </c>
      <c r="R167" s="314" t="n">
        <f aca="false">INDEX(G:G,P167,1)</f>
        <v>69000</v>
      </c>
      <c r="S167" s="312"/>
    </row>
    <row r="168" s="379" customFormat="true" ht="14.9" hidden="false" customHeight="false" outlineLevel="0" collapsed="false">
      <c r="A168" s="403" t="n">
        <v>158</v>
      </c>
      <c r="B168" s="381" t="str">
        <f aca="false">CONCATENATE(INT((A168-1)/12)+1,"-й год ",A168-1-INT((A168-1)/12)*12+1,"-й мес")</f>
        <v>14-й год 2-й мес</v>
      </c>
      <c r="C168" s="382" t="n">
        <f aca="false">DATE(YEAR(C167),MONTH(C167)+1,DAY(C167))</f>
        <v>48670</v>
      </c>
      <c r="D168" s="383" t="n">
        <f aca="false">IFERROR(IF(R168*$D$4/100/12/(1-(1+$D$4/100/12)^(-Q168))&lt;G167,ROUNDUP(R168*$D$4/100/12/(1-(1+$D$4/100/12)^(-Q168)),0),G167+F168),0)</f>
        <v>0</v>
      </c>
      <c r="E168" s="384" t="n">
        <f aca="false">D168-F168</f>
        <v>0</v>
      </c>
      <c r="F168" s="384" t="n">
        <f aca="false">G167*$D$4*(C168-C167)/(DATE(YEAR(C168)+1,1,1)-DATE(YEAR(C168),1,1))/100</f>
        <v>0</v>
      </c>
      <c r="G168" s="385" t="n">
        <f aca="false">G167-E168-L168-M168</f>
        <v>0</v>
      </c>
      <c r="H168" s="386" t="n">
        <f aca="false">IFERROR(I168+J168,0)</f>
        <v>0</v>
      </c>
      <c r="I168" s="384" t="n">
        <f aca="false">IFERROR(IF($D$3/$D$5&lt;K167,$D$3/$D$5,K167),0)</f>
        <v>0</v>
      </c>
      <c r="J168" s="384" t="n">
        <f aca="false">K167*$D$4/12/100</f>
        <v>0</v>
      </c>
      <c r="K168" s="387" t="n">
        <f aca="false">K167-I168-L168-M168</f>
        <v>0</v>
      </c>
      <c r="L168" s="388"/>
      <c r="M168" s="389"/>
      <c r="N168" s="409"/>
      <c r="O168" s="409"/>
      <c r="P168" s="391" t="n">
        <f aca="false">IF(ISBLANK(L167),VALUE(P167),ROW(L167))</f>
        <v>10</v>
      </c>
      <c r="Q168" s="314" t="n">
        <f aca="false">Q167+P167-P168</f>
        <v>12</v>
      </c>
      <c r="R168" s="314" t="n">
        <f aca="false">INDEX(G:G,P168,1)</f>
        <v>69000</v>
      </c>
      <c r="S168" s="312"/>
    </row>
    <row r="169" s="379" customFormat="true" ht="14.9" hidden="false" customHeight="false" outlineLevel="0" collapsed="false">
      <c r="A169" s="403" t="n">
        <v>159</v>
      </c>
      <c r="B169" s="381" t="str">
        <f aca="false">CONCATENATE(INT((A169-1)/12)+1,"-й год ",A169-1-INT((A169-1)/12)*12+1,"-й мес")</f>
        <v>14-й год 3-й мес</v>
      </c>
      <c r="C169" s="382" t="n">
        <f aca="false">DATE(YEAR(C168),MONTH(C168)+1,DAY(C168))</f>
        <v>48700</v>
      </c>
      <c r="D169" s="383" t="n">
        <f aca="false">IFERROR(IF(R169*$D$4/100/12/(1-(1+$D$4/100/12)^(-Q169))&lt;G168,ROUNDUP(R169*$D$4/100/12/(1-(1+$D$4/100/12)^(-Q169)),0),G168+F169),0)</f>
        <v>0</v>
      </c>
      <c r="E169" s="384" t="n">
        <f aca="false">D169-F169</f>
        <v>0</v>
      </c>
      <c r="F169" s="384" t="n">
        <f aca="false">G168*$D$4*(C169-C168)/(DATE(YEAR(C169)+1,1,1)-DATE(YEAR(C169),1,1))/100</f>
        <v>0</v>
      </c>
      <c r="G169" s="385" t="n">
        <f aca="false">G168-E169-L169-M169</f>
        <v>0</v>
      </c>
      <c r="H169" s="386" t="n">
        <f aca="false">IFERROR(I169+J169,0)</f>
        <v>0</v>
      </c>
      <c r="I169" s="384" t="n">
        <f aca="false">IFERROR(IF($D$3/$D$5&lt;K168,$D$3/$D$5,K168),0)</f>
        <v>0</v>
      </c>
      <c r="J169" s="384" t="n">
        <f aca="false">K168*$D$4/12/100</f>
        <v>0</v>
      </c>
      <c r="K169" s="387" t="n">
        <f aca="false">K168-I169-L169-M169</f>
        <v>0</v>
      </c>
      <c r="L169" s="388"/>
      <c r="M169" s="389"/>
      <c r="N169" s="409"/>
      <c r="O169" s="409"/>
      <c r="P169" s="391" t="n">
        <f aca="false">IF(ISBLANK(L168),VALUE(P168),ROW(L168))</f>
        <v>10</v>
      </c>
      <c r="Q169" s="314" t="n">
        <f aca="false">Q168+P168-P169</f>
        <v>12</v>
      </c>
      <c r="R169" s="314" t="n">
        <f aca="false">INDEX(G:G,P169,1)</f>
        <v>69000</v>
      </c>
      <c r="S169" s="312"/>
    </row>
    <row r="170" s="379" customFormat="true" ht="14.9" hidden="false" customHeight="false" outlineLevel="0" collapsed="false">
      <c r="A170" s="403" t="n">
        <v>160</v>
      </c>
      <c r="B170" s="381" t="str">
        <f aca="false">CONCATENATE(INT((A170-1)/12)+1,"-й год ",A170-1-INT((A170-1)/12)*12+1,"-й мес")</f>
        <v>14-й год 4-й мес</v>
      </c>
      <c r="C170" s="382" t="n">
        <f aca="false">DATE(YEAR(C169),MONTH(C169)+1,DAY(C169))</f>
        <v>48731</v>
      </c>
      <c r="D170" s="383" t="n">
        <f aca="false">IFERROR(IF(R170*$D$4/100/12/(1-(1+$D$4/100/12)^(-Q170))&lt;G169,ROUNDUP(R170*$D$4/100/12/(1-(1+$D$4/100/12)^(-Q170)),0),G169+F170),0)</f>
        <v>0</v>
      </c>
      <c r="E170" s="384" t="n">
        <f aca="false">D170-F170</f>
        <v>0</v>
      </c>
      <c r="F170" s="384" t="n">
        <f aca="false">G169*$D$4*(C170-C169)/(DATE(YEAR(C170)+1,1,1)-DATE(YEAR(C170),1,1))/100</f>
        <v>0</v>
      </c>
      <c r="G170" s="385" t="n">
        <f aca="false">G169-E170-L170-M170</f>
        <v>0</v>
      </c>
      <c r="H170" s="386" t="n">
        <f aca="false">IFERROR(I170+J170,0)</f>
        <v>0</v>
      </c>
      <c r="I170" s="384" t="n">
        <f aca="false">IFERROR(IF($D$3/$D$5&lt;K169,$D$3/$D$5,K169),0)</f>
        <v>0</v>
      </c>
      <c r="J170" s="384" t="n">
        <f aca="false">K169*$D$4/12/100</f>
        <v>0</v>
      </c>
      <c r="K170" s="387" t="n">
        <f aca="false">K169-I170-L170-M170</f>
        <v>0</v>
      </c>
      <c r="L170" s="388"/>
      <c r="M170" s="389"/>
      <c r="N170" s="409"/>
      <c r="O170" s="409"/>
      <c r="P170" s="391" t="n">
        <f aca="false">IF(ISBLANK(L169),VALUE(P169),ROW(L169))</f>
        <v>10</v>
      </c>
      <c r="Q170" s="314" t="n">
        <f aca="false">Q169+P169-P170</f>
        <v>12</v>
      </c>
      <c r="R170" s="314" t="n">
        <f aca="false">INDEX(G:G,P170,1)</f>
        <v>69000</v>
      </c>
      <c r="S170" s="312"/>
    </row>
    <row r="171" s="379" customFormat="true" ht="14.9" hidden="false" customHeight="false" outlineLevel="0" collapsed="false">
      <c r="A171" s="403" t="n">
        <v>161</v>
      </c>
      <c r="B171" s="381" t="str">
        <f aca="false">CONCATENATE(INT((A171-1)/12)+1,"-й год ",A171-1-INT((A171-1)/12)*12+1,"-й мес")</f>
        <v>14-й год 5-й мес</v>
      </c>
      <c r="C171" s="382" t="n">
        <f aca="false">DATE(YEAR(C170),MONTH(C170)+1,DAY(C170))</f>
        <v>48761</v>
      </c>
      <c r="D171" s="383" t="n">
        <f aca="false">IFERROR(IF(R171*$D$4/100/12/(1-(1+$D$4/100/12)^(-Q171))&lt;G170,ROUNDUP(R171*$D$4/100/12/(1-(1+$D$4/100/12)^(-Q171)),0),G170+F171),0)</f>
        <v>0</v>
      </c>
      <c r="E171" s="384" t="n">
        <f aca="false">D171-F171</f>
        <v>0</v>
      </c>
      <c r="F171" s="384" t="n">
        <f aca="false">G170*$D$4*(C171-C170)/(DATE(YEAR(C171)+1,1,1)-DATE(YEAR(C171),1,1))/100</f>
        <v>0</v>
      </c>
      <c r="G171" s="385" t="n">
        <f aca="false">G170-E171-L171-M171</f>
        <v>0</v>
      </c>
      <c r="H171" s="386" t="n">
        <f aca="false">IFERROR(I171+J171,0)</f>
        <v>0</v>
      </c>
      <c r="I171" s="384" t="n">
        <f aca="false">IFERROR(IF($D$3/$D$5&lt;K170,$D$3/$D$5,K170),0)</f>
        <v>0</v>
      </c>
      <c r="J171" s="384" t="n">
        <f aca="false">K170*$D$4/12/100</f>
        <v>0</v>
      </c>
      <c r="K171" s="387" t="n">
        <f aca="false">K170-I171-L171-M171</f>
        <v>0</v>
      </c>
      <c r="L171" s="388"/>
      <c r="M171" s="389"/>
      <c r="N171" s="409"/>
      <c r="O171" s="409"/>
      <c r="P171" s="391" t="n">
        <f aca="false">IF(ISBLANK(L170),VALUE(P170),ROW(L170))</f>
        <v>10</v>
      </c>
      <c r="Q171" s="314" t="n">
        <f aca="false">Q170+P170-P171</f>
        <v>12</v>
      </c>
      <c r="R171" s="314" t="n">
        <f aca="false">INDEX(G:G,P171,1)</f>
        <v>69000</v>
      </c>
      <c r="S171" s="312"/>
    </row>
    <row r="172" s="379" customFormat="true" ht="14.9" hidden="false" customHeight="false" outlineLevel="0" collapsed="false">
      <c r="A172" s="403" t="n">
        <v>162</v>
      </c>
      <c r="B172" s="381" t="str">
        <f aca="false">CONCATENATE(INT((A172-1)/12)+1,"-й год ",A172-1-INT((A172-1)/12)*12+1,"-й мес")</f>
        <v>14-й год 6-й мес</v>
      </c>
      <c r="C172" s="382" t="n">
        <f aca="false">DATE(YEAR(C171),MONTH(C171)+1,DAY(C171))</f>
        <v>48792</v>
      </c>
      <c r="D172" s="383" t="n">
        <f aca="false">IFERROR(IF(R172*$D$4/100/12/(1-(1+$D$4/100/12)^(-Q172))&lt;G171,ROUNDUP(R172*$D$4/100/12/(1-(1+$D$4/100/12)^(-Q172)),0),G171+F172),0)</f>
        <v>0</v>
      </c>
      <c r="E172" s="384" t="n">
        <f aca="false">D172-F172</f>
        <v>0</v>
      </c>
      <c r="F172" s="384" t="n">
        <f aca="false">G171*$D$4*(C172-C171)/(DATE(YEAR(C172)+1,1,1)-DATE(YEAR(C172),1,1))/100</f>
        <v>0</v>
      </c>
      <c r="G172" s="385" t="n">
        <f aca="false">G171-E172-L172-M172</f>
        <v>0</v>
      </c>
      <c r="H172" s="386" t="n">
        <f aca="false">IFERROR(I172+J172,0)</f>
        <v>0</v>
      </c>
      <c r="I172" s="384" t="n">
        <f aca="false">IFERROR(IF($D$3/$D$5&lt;K171,$D$3/$D$5,K171),0)</f>
        <v>0</v>
      </c>
      <c r="J172" s="384" t="n">
        <f aca="false">K171*$D$4/12/100</f>
        <v>0</v>
      </c>
      <c r="K172" s="387" t="n">
        <f aca="false">K171-I172-L172-M172</f>
        <v>0</v>
      </c>
      <c r="L172" s="388"/>
      <c r="M172" s="389"/>
      <c r="N172" s="409"/>
      <c r="O172" s="409"/>
      <c r="P172" s="391" t="n">
        <f aca="false">IF(ISBLANK(L171),VALUE(P171),ROW(L171))</f>
        <v>10</v>
      </c>
      <c r="Q172" s="314" t="n">
        <f aca="false">Q171+P171-P172</f>
        <v>12</v>
      </c>
      <c r="R172" s="314" t="n">
        <f aca="false">INDEX(G:G,P172,1)</f>
        <v>69000</v>
      </c>
      <c r="S172" s="312"/>
    </row>
    <row r="173" s="379" customFormat="true" ht="14.9" hidden="false" customHeight="false" outlineLevel="0" collapsed="false">
      <c r="A173" s="403" t="n">
        <v>163</v>
      </c>
      <c r="B173" s="381" t="str">
        <f aca="false">CONCATENATE(INT((A173-1)/12)+1,"-й год ",A173-1-INT((A173-1)/12)*12+1,"-й мес")</f>
        <v>14-й год 7-й мес</v>
      </c>
      <c r="C173" s="382" t="n">
        <f aca="false">DATE(YEAR(C172),MONTH(C172)+1,DAY(C172))</f>
        <v>48823</v>
      </c>
      <c r="D173" s="383" t="n">
        <f aca="false">IFERROR(IF(R173*$D$4/100/12/(1-(1+$D$4/100/12)^(-Q173))&lt;G172,ROUNDUP(R173*$D$4/100/12/(1-(1+$D$4/100/12)^(-Q173)),0),G172+F173),0)</f>
        <v>0</v>
      </c>
      <c r="E173" s="384" t="n">
        <f aca="false">D173-F173</f>
        <v>0</v>
      </c>
      <c r="F173" s="384" t="n">
        <f aca="false">G172*$D$4*(C173-C172)/(DATE(YEAR(C173)+1,1,1)-DATE(YEAR(C173),1,1))/100</f>
        <v>0</v>
      </c>
      <c r="G173" s="385" t="n">
        <f aca="false">G172-E173-L173-M173</f>
        <v>0</v>
      </c>
      <c r="H173" s="386" t="n">
        <f aca="false">IFERROR(I173+J173,0)</f>
        <v>0</v>
      </c>
      <c r="I173" s="384" t="n">
        <f aca="false">IFERROR(IF($D$3/$D$5&lt;K172,$D$3/$D$5,K172),0)</f>
        <v>0</v>
      </c>
      <c r="J173" s="384" t="n">
        <f aca="false">K172*$D$4/12/100</f>
        <v>0</v>
      </c>
      <c r="K173" s="387" t="n">
        <f aca="false">K172-I173-L173-M173</f>
        <v>0</v>
      </c>
      <c r="L173" s="388"/>
      <c r="M173" s="389"/>
      <c r="N173" s="409"/>
      <c r="O173" s="409"/>
      <c r="P173" s="391" t="n">
        <f aca="false">IF(ISBLANK(L172),VALUE(P172),ROW(L172))</f>
        <v>10</v>
      </c>
      <c r="Q173" s="314" t="n">
        <f aca="false">Q172+P172-P173</f>
        <v>12</v>
      </c>
      <c r="R173" s="314" t="n">
        <f aca="false">INDEX(G:G,P173,1)</f>
        <v>69000</v>
      </c>
      <c r="S173" s="312"/>
    </row>
    <row r="174" s="379" customFormat="true" ht="14.9" hidden="false" customHeight="false" outlineLevel="0" collapsed="false">
      <c r="A174" s="403" t="n">
        <v>164</v>
      </c>
      <c r="B174" s="381" t="str">
        <f aca="false">CONCATENATE(INT((A174-1)/12)+1,"-й год ",A174-1-INT((A174-1)/12)*12+1,"-й мес")</f>
        <v>14-й год 8-й мес</v>
      </c>
      <c r="C174" s="382" t="n">
        <f aca="false">DATE(YEAR(C173),MONTH(C173)+1,DAY(C173))</f>
        <v>48853</v>
      </c>
      <c r="D174" s="383" t="n">
        <f aca="false">IFERROR(IF(R174*$D$4/100/12/(1-(1+$D$4/100/12)^(-Q174))&lt;G173,ROUNDUP(R174*$D$4/100/12/(1-(1+$D$4/100/12)^(-Q174)),0),G173+F174),0)</f>
        <v>0</v>
      </c>
      <c r="E174" s="384" t="n">
        <f aca="false">D174-F174</f>
        <v>0</v>
      </c>
      <c r="F174" s="384" t="n">
        <f aca="false">G173*$D$4*(C174-C173)/(DATE(YEAR(C174)+1,1,1)-DATE(YEAR(C174),1,1))/100</f>
        <v>0</v>
      </c>
      <c r="G174" s="385" t="n">
        <f aca="false">G173-E174-L174-M174</f>
        <v>0</v>
      </c>
      <c r="H174" s="386" t="n">
        <f aca="false">IFERROR(I174+J174,0)</f>
        <v>0</v>
      </c>
      <c r="I174" s="384" t="n">
        <f aca="false">IFERROR(IF($D$3/$D$5&lt;K173,$D$3/$D$5,K173),0)</f>
        <v>0</v>
      </c>
      <c r="J174" s="384" t="n">
        <f aca="false">K173*$D$4/12/100</f>
        <v>0</v>
      </c>
      <c r="K174" s="387" t="n">
        <f aca="false">K173-I174-L174-M174</f>
        <v>0</v>
      </c>
      <c r="L174" s="388"/>
      <c r="M174" s="389"/>
      <c r="N174" s="409"/>
      <c r="O174" s="409"/>
      <c r="P174" s="391" t="n">
        <f aca="false">IF(ISBLANK(L173),VALUE(P173),ROW(L173))</f>
        <v>10</v>
      </c>
      <c r="Q174" s="314" t="n">
        <f aca="false">Q173+P173-P174</f>
        <v>12</v>
      </c>
      <c r="R174" s="314" t="n">
        <f aca="false">INDEX(G:G,P174,1)</f>
        <v>69000</v>
      </c>
      <c r="S174" s="312"/>
    </row>
    <row r="175" s="379" customFormat="true" ht="14.9" hidden="false" customHeight="false" outlineLevel="0" collapsed="false">
      <c r="A175" s="403" t="n">
        <v>165</v>
      </c>
      <c r="B175" s="381" t="str">
        <f aca="false">CONCATENATE(INT((A175-1)/12)+1,"-й год ",A175-1-INT((A175-1)/12)*12+1,"-й мес")</f>
        <v>14-й год 9-й мес</v>
      </c>
      <c r="C175" s="382" t="n">
        <f aca="false">DATE(YEAR(C174),MONTH(C174)+1,DAY(C174))</f>
        <v>48884</v>
      </c>
      <c r="D175" s="383" t="n">
        <f aca="false">IFERROR(IF(R175*$D$4/100/12/(1-(1+$D$4/100/12)^(-Q175))&lt;G174,ROUNDUP(R175*$D$4/100/12/(1-(1+$D$4/100/12)^(-Q175)),0),G174+F175),0)</f>
        <v>0</v>
      </c>
      <c r="E175" s="384" t="n">
        <f aca="false">D175-F175</f>
        <v>0</v>
      </c>
      <c r="F175" s="384" t="n">
        <f aca="false">G174*$D$4*(C175-C174)/(DATE(YEAR(C175)+1,1,1)-DATE(YEAR(C175),1,1))/100</f>
        <v>0</v>
      </c>
      <c r="G175" s="385" t="n">
        <f aca="false">G174-E175-L175-M175</f>
        <v>0</v>
      </c>
      <c r="H175" s="386" t="n">
        <f aca="false">IFERROR(I175+J175,0)</f>
        <v>0</v>
      </c>
      <c r="I175" s="384" t="n">
        <f aca="false">IFERROR(IF($D$3/$D$5&lt;K174,$D$3/$D$5,K174),0)</f>
        <v>0</v>
      </c>
      <c r="J175" s="384" t="n">
        <f aca="false">K174*$D$4/12/100</f>
        <v>0</v>
      </c>
      <c r="K175" s="387" t="n">
        <f aca="false">K174-I175-L175-M175</f>
        <v>0</v>
      </c>
      <c r="L175" s="388"/>
      <c r="M175" s="389"/>
      <c r="N175" s="409"/>
      <c r="O175" s="409"/>
      <c r="P175" s="391" t="n">
        <f aca="false">IF(ISBLANK(L174),VALUE(P174),ROW(L174))</f>
        <v>10</v>
      </c>
      <c r="Q175" s="314" t="n">
        <f aca="false">Q174+P174-P175</f>
        <v>12</v>
      </c>
      <c r="R175" s="314" t="n">
        <f aca="false">INDEX(G:G,P175,1)</f>
        <v>69000</v>
      </c>
      <c r="S175" s="312"/>
    </row>
    <row r="176" s="379" customFormat="true" ht="14.9" hidden="false" customHeight="false" outlineLevel="0" collapsed="false">
      <c r="A176" s="403" t="n">
        <v>166</v>
      </c>
      <c r="B176" s="381" t="str">
        <f aca="false">CONCATENATE(INT((A176-1)/12)+1,"-й год ",A176-1-INT((A176-1)/12)*12+1,"-й мес")</f>
        <v>14-й год 10-й мес</v>
      </c>
      <c r="C176" s="382" t="n">
        <f aca="false">DATE(YEAR(C175),MONTH(C175)+1,DAY(C175))</f>
        <v>48914</v>
      </c>
      <c r="D176" s="383" t="n">
        <f aca="false">IFERROR(IF(R176*$D$4/100/12/(1-(1+$D$4/100/12)^(-Q176))&lt;G175,ROUNDUP(R176*$D$4/100/12/(1-(1+$D$4/100/12)^(-Q176)),0),G175+F176),0)</f>
        <v>0</v>
      </c>
      <c r="E176" s="384" t="n">
        <f aca="false">D176-F176</f>
        <v>0</v>
      </c>
      <c r="F176" s="384" t="n">
        <f aca="false">G175*$D$4*(C176-C175)/(DATE(YEAR(C176)+1,1,1)-DATE(YEAR(C176),1,1))/100</f>
        <v>0</v>
      </c>
      <c r="G176" s="385" t="n">
        <f aca="false">G175-E176-L176-M176</f>
        <v>0</v>
      </c>
      <c r="H176" s="386" t="n">
        <f aca="false">IFERROR(I176+J176,0)</f>
        <v>0</v>
      </c>
      <c r="I176" s="384" t="n">
        <f aca="false">IFERROR(IF($D$3/$D$5&lt;K175,$D$3/$D$5,K175),0)</f>
        <v>0</v>
      </c>
      <c r="J176" s="384" t="n">
        <f aca="false">K175*$D$4/12/100</f>
        <v>0</v>
      </c>
      <c r="K176" s="387" t="n">
        <f aca="false">K175-I176-L176-M176</f>
        <v>0</v>
      </c>
      <c r="L176" s="388"/>
      <c r="M176" s="389"/>
      <c r="N176" s="409"/>
      <c r="O176" s="409"/>
      <c r="P176" s="391" t="n">
        <f aca="false">IF(ISBLANK(L175),VALUE(P175),ROW(L175))</f>
        <v>10</v>
      </c>
      <c r="Q176" s="314" t="n">
        <f aca="false">Q175+P175-P176</f>
        <v>12</v>
      </c>
      <c r="R176" s="314" t="n">
        <f aca="false">INDEX(G:G,P176,1)</f>
        <v>69000</v>
      </c>
      <c r="S176" s="312"/>
    </row>
    <row r="177" s="379" customFormat="true" ht="14.9" hidden="false" customHeight="false" outlineLevel="0" collapsed="false">
      <c r="A177" s="403" t="n">
        <v>167</v>
      </c>
      <c r="B177" s="381" t="str">
        <f aca="false">CONCATENATE(INT((A177-1)/12)+1,"-й год ",A177-1-INT((A177-1)/12)*12+1,"-й мес")</f>
        <v>14-й год 11-й мес</v>
      </c>
      <c r="C177" s="382" t="n">
        <f aca="false">DATE(YEAR(C176),MONTH(C176)+1,DAY(C176))</f>
        <v>48945</v>
      </c>
      <c r="D177" s="383" t="n">
        <f aca="false">IFERROR(IF(R177*$D$4/100/12/(1-(1+$D$4/100/12)^(-Q177))&lt;G176,ROUNDUP(R177*$D$4/100/12/(1-(1+$D$4/100/12)^(-Q177)),0),G176+F177),0)</f>
        <v>0</v>
      </c>
      <c r="E177" s="384" t="n">
        <f aca="false">D177-F177</f>
        <v>0</v>
      </c>
      <c r="F177" s="384" t="n">
        <f aca="false">G176*$D$4*(C177-C176)/(DATE(YEAR(C177)+1,1,1)-DATE(YEAR(C177),1,1))/100</f>
        <v>0</v>
      </c>
      <c r="G177" s="385" t="n">
        <f aca="false">G176-E177-L177-M177</f>
        <v>0</v>
      </c>
      <c r="H177" s="386" t="n">
        <f aca="false">IFERROR(I177+J177,0)</f>
        <v>0</v>
      </c>
      <c r="I177" s="384" t="n">
        <f aca="false">IFERROR(IF($D$3/$D$5&lt;K176,$D$3/$D$5,K176),0)</f>
        <v>0</v>
      </c>
      <c r="J177" s="384" t="n">
        <f aca="false">K176*$D$4/12/100</f>
        <v>0</v>
      </c>
      <c r="K177" s="387" t="n">
        <f aca="false">K176-I177-L177-M177</f>
        <v>0</v>
      </c>
      <c r="L177" s="388"/>
      <c r="M177" s="389"/>
      <c r="N177" s="409"/>
      <c r="O177" s="409"/>
      <c r="P177" s="391" t="n">
        <f aca="false">IF(ISBLANK(L176),VALUE(P176),ROW(L176))</f>
        <v>10</v>
      </c>
      <c r="Q177" s="314" t="n">
        <f aca="false">Q176+P176-P177</f>
        <v>12</v>
      </c>
      <c r="R177" s="314" t="n">
        <f aca="false">INDEX(G:G,P177,1)</f>
        <v>69000</v>
      </c>
      <c r="S177" s="312"/>
    </row>
    <row r="178" s="379" customFormat="true" ht="14.9" hidden="false" customHeight="false" outlineLevel="0" collapsed="false">
      <c r="A178" s="404" t="n">
        <v>168</v>
      </c>
      <c r="B178" s="392" t="str">
        <f aca="false">CONCATENATE(INT((A178-1)/12)+1,"-й год ",A178-1-INT((A178-1)/12)*12+1,"-й мес")</f>
        <v>14-й год 12-й мес</v>
      </c>
      <c r="C178" s="393" t="n">
        <f aca="false">DATE(YEAR(C177),MONTH(C177)+1,DAY(C177))</f>
        <v>48976</v>
      </c>
      <c r="D178" s="394" t="n">
        <f aca="false">IFERROR(IF(R178*$D$4/100/12/(1-(1+$D$4/100/12)^(-Q178))&lt;G177,ROUNDUP(R178*$D$4/100/12/(1-(1+$D$4/100/12)^(-Q178)),0),G177+F178),0)</f>
        <v>0</v>
      </c>
      <c r="E178" s="395" t="n">
        <f aca="false">D178-F178</f>
        <v>0</v>
      </c>
      <c r="F178" s="395" t="n">
        <f aca="false">G177*$D$4*(C178-C177)/(DATE(YEAR(C178)+1,1,1)-DATE(YEAR(C178),1,1))/100</f>
        <v>0</v>
      </c>
      <c r="G178" s="405" t="n">
        <f aca="false">G177-E178-L178-M178</f>
        <v>0</v>
      </c>
      <c r="H178" s="406" t="n">
        <f aca="false">IFERROR(I178+J178,0)</f>
        <v>0</v>
      </c>
      <c r="I178" s="395" t="n">
        <f aca="false">IFERROR(IF($D$3/$D$5&lt;K177,$D$3/$D$5,K177),0)</f>
        <v>0</v>
      </c>
      <c r="J178" s="395" t="n">
        <f aca="false">K177*$D$4/12/100</f>
        <v>0</v>
      </c>
      <c r="K178" s="407" t="n">
        <f aca="false">K177-I178-L178-M178</f>
        <v>0</v>
      </c>
      <c r="L178" s="408"/>
      <c r="M178" s="410"/>
      <c r="N178" s="409"/>
      <c r="O178" s="409"/>
      <c r="P178" s="391" t="n">
        <f aca="false">IF(ISBLANK(L177),VALUE(P177),ROW(L177))</f>
        <v>10</v>
      </c>
      <c r="Q178" s="314" t="n">
        <f aca="false">Q177+P177-P178</f>
        <v>12</v>
      </c>
      <c r="R178" s="314" t="n">
        <f aca="false">INDEX(G:G,P178,1)</f>
        <v>69000</v>
      </c>
      <c r="S178" s="312"/>
    </row>
    <row r="179" s="379" customFormat="true" ht="14.9" hidden="false" customHeight="false" outlineLevel="0" collapsed="false">
      <c r="A179" s="380" t="n">
        <v>169</v>
      </c>
      <c r="B179" s="381" t="str">
        <f aca="false">CONCATENATE(INT((A179-1)/12)+1,"-й год ",A179-1-INT((A179-1)/12)*12+1,"-й мес")</f>
        <v>15-й год 1-й мес</v>
      </c>
      <c r="C179" s="382" t="n">
        <f aca="false">DATE(YEAR(C178),MONTH(C178)+1,DAY(C178))</f>
        <v>49004</v>
      </c>
      <c r="D179" s="383" t="n">
        <f aca="false">IFERROR(IF(R179*$D$4/100/12/(1-(1+$D$4/100/12)^(-Q179))&lt;G178,ROUNDUP(R179*$D$4/100/12/(1-(1+$D$4/100/12)^(-Q179)),0),G178+F179),0)</f>
        <v>0</v>
      </c>
      <c r="E179" s="384" t="n">
        <f aca="false">D179-F179</f>
        <v>0</v>
      </c>
      <c r="F179" s="384" t="n">
        <f aca="false">G178*$D$4*(C179-C178)/(DATE(YEAR(C179)+1,1,1)-DATE(YEAR(C179),1,1))/100</f>
        <v>0</v>
      </c>
      <c r="G179" s="385" t="n">
        <f aca="false">G178-E179-L179-M179</f>
        <v>0</v>
      </c>
      <c r="H179" s="386" t="n">
        <f aca="false">IFERROR(I179+J179,0)</f>
        <v>0</v>
      </c>
      <c r="I179" s="384" t="n">
        <f aca="false">IFERROR(IF($D$3/$D$5&lt;K178,$D$3/$D$5,K178),0)</f>
        <v>0</v>
      </c>
      <c r="J179" s="384" t="n">
        <f aca="false">K178*$D$4/12/100</f>
        <v>0</v>
      </c>
      <c r="K179" s="387" t="n">
        <f aca="false">K178-I179-L179-M179</f>
        <v>0</v>
      </c>
      <c r="L179" s="388"/>
      <c r="M179" s="389"/>
      <c r="N179" s="409"/>
      <c r="O179" s="409"/>
      <c r="P179" s="391" t="n">
        <f aca="false">IF(ISBLANK(L178),VALUE(P178),ROW(L178))</f>
        <v>10</v>
      </c>
      <c r="Q179" s="314" t="n">
        <f aca="false">Q178+P178-P179</f>
        <v>12</v>
      </c>
      <c r="R179" s="314" t="n">
        <f aca="false">INDEX(G:G,P179,1)</f>
        <v>69000</v>
      </c>
      <c r="S179" s="312"/>
    </row>
    <row r="180" s="379" customFormat="true" ht="14.9" hidden="false" customHeight="false" outlineLevel="0" collapsed="false">
      <c r="A180" s="380" t="n">
        <v>170</v>
      </c>
      <c r="B180" s="381" t="str">
        <f aca="false">CONCATENATE(INT((A180-1)/12)+1,"-й год ",A180-1-INT((A180-1)/12)*12+1,"-й мес")</f>
        <v>15-й год 2-й мес</v>
      </c>
      <c r="C180" s="382" t="n">
        <f aca="false">DATE(YEAR(C179),MONTH(C179)+1,DAY(C179))</f>
        <v>49035</v>
      </c>
      <c r="D180" s="383" t="n">
        <f aca="false">IFERROR(IF(R180*$D$4/100/12/(1-(1+$D$4/100/12)^(-Q180))&lt;G179,ROUNDUP(R180*$D$4/100/12/(1-(1+$D$4/100/12)^(-Q180)),0),G179+F180),0)</f>
        <v>0</v>
      </c>
      <c r="E180" s="384" t="n">
        <f aca="false">D180-F180</f>
        <v>0</v>
      </c>
      <c r="F180" s="384" t="n">
        <f aca="false">G179*$D$4*(C180-C179)/(DATE(YEAR(C180)+1,1,1)-DATE(YEAR(C180),1,1))/100</f>
        <v>0</v>
      </c>
      <c r="G180" s="385" t="n">
        <f aca="false">G179-E180-L180-M180</f>
        <v>0</v>
      </c>
      <c r="H180" s="386" t="n">
        <f aca="false">IFERROR(I180+J180,0)</f>
        <v>0</v>
      </c>
      <c r="I180" s="384" t="n">
        <f aca="false">IFERROR(IF($D$3/$D$5&lt;K179,$D$3/$D$5,K179),0)</f>
        <v>0</v>
      </c>
      <c r="J180" s="384" t="n">
        <f aca="false">K179*$D$4/12/100</f>
        <v>0</v>
      </c>
      <c r="K180" s="387" t="n">
        <f aca="false">K179-I180-L180-M180</f>
        <v>0</v>
      </c>
      <c r="L180" s="388"/>
      <c r="M180" s="389"/>
      <c r="N180" s="409"/>
      <c r="O180" s="409"/>
      <c r="P180" s="391" t="n">
        <f aca="false">IF(ISBLANK(L179),VALUE(P179),ROW(L179))</f>
        <v>10</v>
      </c>
      <c r="Q180" s="314" t="n">
        <f aca="false">Q179+P179-P180</f>
        <v>12</v>
      </c>
      <c r="R180" s="314" t="n">
        <f aca="false">INDEX(G:G,P180,1)</f>
        <v>69000</v>
      </c>
      <c r="S180" s="312"/>
    </row>
    <row r="181" s="379" customFormat="true" ht="14.9" hidden="false" customHeight="false" outlineLevel="0" collapsed="false">
      <c r="A181" s="380" t="n">
        <v>171</v>
      </c>
      <c r="B181" s="381" t="str">
        <f aca="false">CONCATENATE(INT((A181-1)/12)+1,"-й год ",A181-1-INT((A181-1)/12)*12+1,"-й мес")</f>
        <v>15-й год 3-й мес</v>
      </c>
      <c r="C181" s="382" t="n">
        <f aca="false">DATE(YEAR(C180),MONTH(C180)+1,DAY(C180))</f>
        <v>49065</v>
      </c>
      <c r="D181" s="383" t="n">
        <f aca="false">IFERROR(IF(R181*$D$4/100/12/(1-(1+$D$4/100/12)^(-Q181))&lt;G180,ROUNDUP(R181*$D$4/100/12/(1-(1+$D$4/100/12)^(-Q181)),0),G180+F181),0)</f>
        <v>0</v>
      </c>
      <c r="E181" s="384" t="n">
        <f aca="false">D181-F181</f>
        <v>0</v>
      </c>
      <c r="F181" s="384" t="n">
        <f aca="false">G180*$D$4*(C181-C180)/(DATE(YEAR(C181)+1,1,1)-DATE(YEAR(C181),1,1))/100</f>
        <v>0</v>
      </c>
      <c r="G181" s="385" t="n">
        <f aca="false">G180-E181-L181-M181</f>
        <v>0</v>
      </c>
      <c r="H181" s="386" t="n">
        <f aca="false">IFERROR(I181+J181,0)</f>
        <v>0</v>
      </c>
      <c r="I181" s="384" t="n">
        <f aca="false">IFERROR(IF($D$3/$D$5&lt;K180,$D$3/$D$5,K180),0)</f>
        <v>0</v>
      </c>
      <c r="J181" s="384" t="n">
        <f aca="false">K180*$D$4/12/100</f>
        <v>0</v>
      </c>
      <c r="K181" s="387" t="n">
        <f aca="false">K180-I181-L181-M181</f>
        <v>0</v>
      </c>
      <c r="L181" s="388"/>
      <c r="M181" s="389"/>
      <c r="N181" s="409"/>
      <c r="O181" s="409"/>
      <c r="P181" s="391" t="n">
        <f aca="false">IF(ISBLANK(L180),VALUE(P180),ROW(L180))</f>
        <v>10</v>
      </c>
      <c r="Q181" s="314" t="n">
        <f aca="false">Q180+P180-P181</f>
        <v>12</v>
      </c>
      <c r="R181" s="314" t="n">
        <f aca="false">INDEX(G:G,P181,1)</f>
        <v>69000</v>
      </c>
      <c r="S181" s="312"/>
    </row>
    <row r="182" s="379" customFormat="true" ht="14.9" hidden="false" customHeight="false" outlineLevel="0" collapsed="false">
      <c r="A182" s="380" t="n">
        <v>172</v>
      </c>
      <c r="B182" s="381" t="str">
        <f aca="false">CONCATENATE(INT((A182-1)/12)+1,"-й год ",A182-1-INT((A182-1)/12)*12+1,"-й мес")</f>
        <v>15-й год 4-й мес</v>
      </c>
      <c r="C182" s="382" t="n">
        <f aca="false">DATE(YEAR(C181),MONTH(C181)+1,DAY(C181))</f>
        <v>49096</v>
      </c>
      <c r="D182" s="383" t="n">
        <f aca="false">IFERROR(IF(R182*$D$4/100/12/(1-(1+$D$4/100/12)^(-Q182))&lt;G181,ROUNDUP(R182*$D$4/100/12/(1-(1+$D$4/100/12)^(-Q182)),0),G181+F182),0)</f>
        <v>0</v>
      </c>
      <c r="E182" s="384" t="n">
        <f aca="false">D182-F182</f>
        <v>0</v>
      </c>
      <c r="F182" s="384" t="n">
        <f aca="false">G181*$D$4*(C182-C181)/(DATE(YEAR(C182)+1,1,1)-DATE(YEAR(C182),1,1))/100</f>
        <v>0</v>
      </c>
      <c r="G182" s="385" t="n">
        <f aca="false">G181-E182-L182-M182</f>
        <v>0</v>
      </c>
      <c r="H182" s="386" t="n">
        <f aca="false">IFERROR(I182+J182,0)</f>
        <v>0</v>
      </c>
      <c r="I182" s="384" t="n">
        <f aca="false">IFERROR(IF($D$3/$D$5&lt;K181,$D$3/$D$5,K181),0)</f>
        <v>0</v>
      </c>
      <c r="J182" s="384" t="n">
        <f aca="false">K181*$D$4/12/100</f>
        <v>0</v>
      </c>
      <c r="K182" s="387" t="n">
        <f aca="false">K181-I182-L182-M182</f>
        <v>0</v>
      </c>
      <c r="L182" s="388"/>
      <c r="M182" s="389"/>
      <c r="N182" s="409"/>
      <c r="O182" s="409"/>
      <c r="P182" s="391" t="n">
        <f aca="false">IF(ISBLANK(L181),VALUE(P181),ROW(L181))</f>
        <v>10</v>
      </c>
      <c r="Q182" s="314" t="n">
        <f aca="false">Q181+P181-P182</f>
        <v>12</v>
      </c>
      <c r="R182" s="314" t="n">
        <f aca="false">INDEX(G:G,P182,1)</f>
        <v>69000</v>
      </c>
      <c r="S182" s="312"/>
    </row>
    <row r="183" s="379" customFormat="true" ht="14.9" hidden="false" customHeight="false" outlineLevel="0" collapsed="false">
      <c r="A183" s="380" t="n">
        <v>173</v>
      </c>
      <c r="B183" s="381" t="str">
        <f aca="false">CONCATENATE(INT((A183-1)/12)+1,"-й год ",A183-1-INT((A183-1)/12)*12+1,"-й мес")</f>
        <v>15-й год 5-й мес</v>
      </c>
      <c r="C183" s="382" t="n">
        <f aca="false">DATE(YEAR(C182),MONTH(C182)+1,DAY(C182))</f>
        <v>49126</v>
      </c>
      <c r="D183" s="383" t="n">
        <f aca="false">IFERROR(IF(R183*$D$4/100/12/(1-(1+$D$4/100/12)^(-Q183))&lt;G182,ROUNDUP(R183*$D$4/100/12/(1-(1+$D$4/100/12)^(-Q183)),0),G182+F183),0)</f>
        <v>0</v>
      </c>
      <c r="E183" s="384" t="n">
        <f aca="false">D183-F183</f>
        <v>0</v>
      </c>
      <c r="F183" s="384" t="n">
        <f aca="false">G182*$D$4*(C183-C182)/(DATE(YEAR(C183)+1,1,1)-DATE(YEAR(C183),1,1))/100</f>
        <v>0</v>
      </c>
      <c r="G183" s="385" t="n">
        <f aca="false">G182-E183-L183-M183</f>
        <v>0</v>
      </c>
      <c r="H183" s="386" t="n">
        <f aca="false">IFERROR(I183+J183,0)</f>
        <v>0</v>
      </c>
      <c r="I183" s="384" t="n">
        <f aca="false">IFERROR(IF($D$3/$D$5&lt;K182,$D$3/$D$5,K182),0)</f>
        <v>0</v>
      </c>
      <c r="J183" s="384" t="n">
        <f aca="false">K182*$D$4/12/100</f>
        <v>0</v>
      </c>
      <c r="K183" s="387" t="n">
        <f aca="false">K182-I183-L183-M183</f>
        <v>0</v>
      </c>
      <c r="L183" s="388"/>
      <c r="M183" s="389"/>
      <c r="N183" s="409"/>
      <c r="O183" s="409"/>
      <c r="P183" s="391" t="n">
        <f aca="false">IF(ISBLANK(L182),VALUE(P182),ROW(L182))</f>
        <v>10</v>
      </c>
      <c r="Q183" s="314" t="n">
        <f aca="false">Q182+P182-P183</f>
        <v>12</v>
      </c>
      <c r="R183" s="314" t="n">
        <f aca="false">INDEX(G:G,P183,1)</f>
        <v>69000</v>
      </c>
      <c r="S183" s="312"/>
    </row>
    <row r="184" s="379" customFormat="true" ht="14.9" hidden="false" customHeight="false" outlineLevel="0" collapsed="false">
      <c r="A184" s="380" t="n">
        <v>174</v>
      </c>
      <c r="B184" s="381" t="str">
        <f aca="false">CONCATENATE(INT((A184-1)/12)+1,"-й год ",A184-1-INT((A184-1)/12)*12+1,"-й мес")</f>
        <v>15-й год 6-й мес</v>
      </c>
      <c r="C184" s="382" t="n">
        <f aca="false">DATE(YEAR(C183),MONTH(C183)+1,DAY(C183))</f>
        <v>49157</v>
      </c>
      <c r="D184" s="383" t="n">
        <f aca="false">IFERROR(IF(R184*$D$4/100/12/(1-(1+$D$4/100/12)^(-Q184))&lt;G183,ROUNDUP(R184*$D$4/100/12/(1-(1+$D$4/100/12)^(-Q184)),0),G183+F184),0)</f>
        <v>0</v>
      </c>
      <c r="E184" s="384" t="n">
        <f aca="false">D184-F184</f>
        <v>0</v>
      </c>
      <c r="F184" s="384" t="n">
        <f aca="false">G183*$D$4*(C184-C183)/(DATE(YEAR(C184)+1,1,1)-DATE(YEAR(C184),1,1))/100</f>
        <v>0</v>
      </c>
      <c r="G184" s="385" t="n">
        <f aca="false">G183-E184-L184-M184</f>
        <v>0</v>
      </c>
      <c r="H184" s="386" t="n">
        <f aca="false">IFERROR(I184+J184,0)</f>
        <v>0</v>
      </c>
      <c r="I184" s="384" t="n">
        <f aca="false">IFERROR(IF($D$3/$D$5&lt;K183,$D$3/$D$5,K183),0)</f>
        <v>0</v>
      </c>
      <c r="J184" s="384" t="n">
        <f aca="false">K183*$D$4/12/100</f>
        <v>0</v>
      </c>
      <c r="K184" s="387" t="n">
        <f aca="false">K183-I184-L184-M184</f>
        <v>0</v>
      </c>
      <c r="L184" s="388"/>
      <c r="M184" s="389"/>
      <c r="N184" s="409"/>
      <c r="O184" s="409"/>
      <c r="P184" s="391" t="n">
        <f aca="false">IF(ISBLANK(L183),VALUE(P183),ROW(L183))</f>
        <v>10</v>
      </c>
      <c r="Q184" s="314" t="n">
        <f aca="false">Q183+P183-P184</f>
        <v>12</v>
      </c>
      <c r="R184" s="314" t="n">
        <f aca="false">INDEX(G:G,P184,1)</f>
        <v>69000</v>
      </c>
      <c r="S184" s="312"/>
    </row>
    <row r="185" s="379" customFormat="true" ht="14.9" hidden="false" customHeight="false" outlineLevel="0" collapsed="false">
      <c r="A185" s="380" t="n">
        <v>175</v>
      </c>
      <c r="B185" s="381" t="str">
        <f aca="false">CONCATENATE(INT((A185-1)/12)+1,"-й год ",A185-1-INT((A185-1)/12)*12+1,"-й мес")</f>
        <v>15-й год 7-й мес</v>
      </c>
      <c r="C185" s="382" t="n">
        <f aca="false">DATE(YEAR(C184),MONTH(C184)+1,DAY(C184))</f>
        <v>49188</v>
      </c>
      <c r="D185" s="383" t="n">
        <f aca="false">IFERROR(IF(R185*$D$4/100/12/(1-(1+$D$4/100/12)^(-Q185))&lt;G184,ROUNDUP(R185*$D$4/100/12/(1-(1+$D$4/100/12)^(-Q185)),0),G184+F185),0)</f>
        <v>0</v>
      </c>
      <c r="E185" s="384" t="n">
        <f aca="false">D185-F185</f>
        <v>0</v>
      </c>
      <c r="F185" s="384" t="n">
        <f aca="false">G184*$D$4*(C185-C184)/(DATE(YEAR(C185)+1,1,1)-DATE(YEAR(C185),1,1))/100</f>
        <v>0</v>
      </c>
      <c r="G185" s="385" t="n">
        <f aca="false">G184-E185-L185-M185</f>
        <v>0</v>
      </c>
      <c r="H185" s="386" t="n">
        <f aca="false">IFERROR(I185+J185,0)</f>
        <v>0</v>
      </c>
      <c r="I185" s="384" t="n">
        <f aca="false">IFERROR(IF($D$3/$D$5&lt;K184,$D$3/$D$5,K184),0)</f>
        <v>0</v>
      </c>
      <c r="J185" s="384" t="n">
        <f aca="false">K184*$D$4/12/100</f>
        <v>0</v>
      </c>
      <c r="K185" s="387" t="n">
        <f aca="false">K184-I185-L185-M185</f>
        <v>0</v>
      </c>
      <c r="L185" s="388"/>
      <c r="M185" s="389"/>
      <c r="N185" s="409"/>
      <c r="O185" s="409"/>
      <c r="P185" s="391" t="n">
        <f aca="false">IF(ISBLANK(L184),VALUE(P184),ROW(L184))</f>
        <v>10</v>
      </c>
      <c r="Q185" s="314" t="n">
        <f aca="false">Q184+P184-P185</f>
        <v>12</v>
      </c>
      <c r="R185" s="314" t="n">
        <f aca="false">INDEX(G:G,P185,1)</f>
        <v>69000</v>
      </c>
      <c r="S185" s="312"/>
    </row>
    <row r="186" s="379" customFormat="true" ht="14.9" hidden="false" customHeight="false" outlineLevel="0" collapsed="false">
      <c r="A186" s="380" t="n">
        <v>176</v>
      </c>
      <c r="B186" s="381" t="str">
        <f aca="false">CONCATENATE(INT((A186-1)/12)+1,"-й год ",A186-1-INT((A186-1)/12)*12+1,"-й мес")</f>
        <v>15-й год 8-й мес</v>
      </c>
      <c r="C186" s="382" t="n">
        <f aca="false">DATE(YEAR(C185),MONTH(C185)+1,DAY(C185))</f>
        <v>49218</v>
      </c>
      <c r="D186" s="383" t="n">
        <f aca="false">IFERROR(IF(R186*$D$4/100/12/(1-(1+$D$4/100/12)^(-Q186))&lt;G185,ROUNDUP(R186*$D$4/100/12/(1-(1+$D$4/100/12)^(-Q186)),0),G185+F186),0)</f>
        <v>0</v>
      </c>
      <c r="E186" s="384" t="n">
        <f aca="false">D186-F186</f>
        <v>0</v>
      </c>
      <c r="F186" s="384" t="n">
        <f aca="false">G185*$D$4*(C186-C185)/(DATE(YEAR(C186)+1,1,1)-DATE(YEAR(C186),1,1))/100</f>
        <v>0</v>
      </c>
      <c r="G186" s="385" t="n">
        <f aca="false">G185-E186-L186-M186</f>
        <v>0</v>
      </c>
      <c r="H186" s="386" t="n">
        <f aca="false">IFERROR(I186+J186,0)</f>
        <v>0</v>
      </c>
      <c r="I186" s="384" t="n">
        <f aca="false">IFERROR(IF($D$3/$D$5&lt;K185,$D$3/$D$5,K185),0)</f>
        <v>0</v>
      </c>
      <c r="J186" s="384" t="n">
        <f aca="false">K185*$D$4/12/100</f>
        <v>0</v>
      </c>
      <c r="K186" s="387" t="n">
        <f aca="false">K185-I186-L186-M186</f>
        <v>0</v>
      </c>
      <c r="L186" s="388"/>
      <c r="M186" s="389"/>
      <c r="N186" s="409"/>
      <c r="O186" s="409"/>
      <c r="P186" s="391" t="n">
        <f aca="false">IF(ISBLANK(L185),VALUE(P185),ROW(L185))</f>
        <v>10</v>
      </c>
      <c r="Q186" s="314" t="n">
        <f aca="false">Q185+P185-P186</f>
        <v>12</v>
      </c>
      <c r="R186" s="314" t="n">
        <f aca="false">INDEX(G:G,P186,1)</f>
        <v>69000</v>
      </c>
      <c r="S186" s="312"/>
    </row>
    <row r="187" s="379" customFormat="true" ht="14.9" hidden="false" customHeight="false" outlineLevel="0" collapsed="false">
      <c r="A187" s="380" t="n">
        <v>177</v>
      </c>
      <c r="B187" s="381" t="str">
        <f aca="false">CONCATENATE(INT((A187-1)/12)+1,"-й год ",A187-1-INT((A187-1)/12)*12+1,"-й мес")</f>
        <v>15-й год 9-й мес</v>
      </c>
      <c r="C187" s="382" t="n">
        <f aca="false">DATE(YEAR(C186),MONTH(C186)+1,DAY(C186))</f>
        <v>49249</v>
      </c>
      <c r="D187" s="383" t="n">
        <f aca="false">IFERROR(IF(R187*$D$4/100/12/(1-(1+$D$4/100/12)^(-Q187))&lt;G186,ROUNDUP(R187*$D$4/100/12/(1-(1+$D$4/100/12)^(-Q187)),0),G186+F187),0)</f>
        <v>0</v>
      </c>
      <c r="E187" s="384" t="n">
        <f aca="false">D187-F187</f>
        <v>0</v>
      </c>
      <c r="F187" s="384" t="n">
        <f aca="false">G186*$D$4*(C187-C186)/(DATE(YEAR(C187)+1,1,1)-DATE(YEAR(C187),1,1))/100</f>
        <v>0</v>
      </c>
      <c r="G187" s="385" t="n">
        <f aca="false">G186-E187-L187-M187</f>
        <v>0</v>
      </c>
      <c r="H187" s="386" t="n">
        <f aca="false">IFERROR(I187+J187,0)</f>
        <v>0</v>
      </c>
      <c r="I187" s="384" t="n">
        <f aca="false">IFERROR(IF($D$3/$D$5&lt;K186,$D$3/$D$5,K186),0)</f>
        <v>0</v>
      </c>
      <c r="J187" s="384" t="n">
        <f aca="false">K186*$D$4/12/100</f>
        <v>0</v>
      </c>
      <c r="K187" s="387" t="n">
        <f aca="false">K186-I187-L187-M187</f>
        <v>0</v>
      </c>
      <c r="L187" s="388"/>
      <c r="M187" s="389"/>
      <c r="N187" s="409"/>
      <c r="O187" s="409"/>
      <c r="P187" s="391" t="n">
        <f aca="false">IF(ISBLANK(L186),VALUE(P186),ROW(L186))</f>
        <v>10</v>
      </c>
      <c r="Q187" s="314" t="n">
        <f aca="false">Q186+P186-P187</f>
        <v>12</v>
      </c>
      <c r="R187" s="314" t="n">
        <f aca="false">INDEX(G:G,P187,1)</f>
        <v>69000</v>
      </c>
      <c r="S187" s="312"/>
    </row>
    <row r="188" s="379" customFormat="true" ht="14.9" hidden="false" customHeight="false" outlineLevel="0" collapsed="false">
      <c r="A188" s="380" t="n">
        <v>178</v>
      </c>
      <c r="B188" s="381" t="str">
        <f aca="false">CONCATENATE(INT((A188-1)/12)+1,"-й год ",A188-1-INT((A188-1)/12)*12+1,"-й мес")</f>
        <v>15-й год 10-й мес</v>
      </c>
      <c r="C188" s="382" t="n">
        <f aca="false">DATE(YEAR(C187),MONTH(C187)+1,DAY(C187))</f>
        <v>49279</v>
      </c>
      <c r="D188" s="383" t="n">
        <f aca="false">IFERROR(IF(R188*$D$4/100/12/(1-(1+$D$4/100/12)^(-Q188))&lt;G187,ROUNDUP(R188*$D$4/100/12/(1-(1+$D$4/100/12)^(-Q188)),0),G187+F188),0)</f>
        <v>0</v>
      </c>
      <c r="E188" s="384" t="n">
        <f aca="false">D188-F188</f>
        <v>0</v>
      </c>
      <c r="F188" s="384" t="n">
        <f aca="false">G187*$D$4*(C188-C187)/(DATE(YEAR(C188)+1,1,1)-DATE(YEAR(C188),1,1))/100</f>
        <v>0</v>
      </c>
      <c r="G188" s="385" t="n">
        <f aca="false">G187-E188-L188-M188</f>
        <v>0</v>
      </c>
      <c r="H188" s="386" t="n">
        <f aca="false">IFERROR(I188+J188,0)</f>
        <v>0</v>
      </c>
      <c r="I188" s="384" t="n">
        <f aca="false">IFERROR(IF($D$3/$D$5&lt;K187,$D$3/$D$5,K187),0)</f>
        <v>0</v>
      </c>
      <c r="J188" s="384" t="n">
        <f aca="false">K187*$D$4/12/100</f>
        <v>0</v>
      </c>
      <c r="K188" s="387" t="n">
        <f aca="false">K187-I188-L188-M188</f>
        <v>0</v>
      </c>
      <c r="L188" s="388"/>
      <c r="M188" s="389"/>
      <c r="N188" s="409"/>
      <c r="O188" s="409"/>
      <c r="P188" s="391" t="n">
        <f aca="false">IF(ISBLANK(L187),VALUE(P187),ROW(L187))</f>
        <v>10</v>
      </c>
      <c r="Q188" s="314" t="n">
        <f aca="false">Q187+P187-P188</f>
        <v>12</v>
      </c>
      <c r="R188" s="314" t="n">
        <f aca="false">INDEX(G:G,P188,1)</f>
        <v>69000</v>
      </c>
      <c r="S188" s="312"/>
    </row>
    <row r="189" s="379" customFormat="true" ht="14.9" hidden="false" customHeight="false" outlineLevel="0" collapsed="false">
      <c r="A189" s="380" t="n">
        <v>179</v>
      </c>
      <c r="B189" s="381" t="str">
        <f aca="false">CONCATENATE(INT((A189-1)/12)+1,"-й год ",A189-1-INT((A189-1)/12)*12+1,"-й мес")</f>
        <v>15-й год 11-й мес</v>
      </c>
      <c r="C189" s="382" t="n">
        <f aca="false">DATE(YEAR(C188),MONTH(C188)+1,DAY(C188))</f>
        <v>49310</v>
      </c>
      <c r="D189" s="383" t="n">
        <f aca="false">IFERROR(IF(R189*$D$4/100/12/(1-(1+$D$4/100/12)^(-Q189))&lt;G188,ROUNDUP(R189*$D$4/100/12/(1-(1+$D$4/100/12)^(-Q189)),0),G188+F189),0)</f>
        <v>0</v>
      </c>
      <c r="E189" s="384" t="n">
        <f aca="false">D189-F189</f>
        <v>0</v>
      </c>
      <c r="F189" s="384" t="n">
        <f aca="false">G188*$D$4*(C189-C188)/(DATE(YEAR(C189)+1,1,1)-DATE(YEAR(C189),1,1))/100</f>
        <v>0</v>
      </c>
      <c r="G189" s="385" t="n">
        <f aca="false">G188-E189-L189-M189</f>
        <v>0</v>
      </c>
      <c r="H189" s="386" t="n">
        <f aca="false">IFERROR(I189+J189,0)</f>
        <v>0</v>
      </c>
      <c r="I189" s="384" t="n">
        <f aca="false">IFERROR(IF($D$3/$D$5&lt;K188,$D$3/$D$5,K188),0)</f>
        <v>0</v>
      </c>
      <c r="J189" s="384" t="n">
        <f aca="false">K188*$D$4/12/100</f>
        <v>0</v>
      </c>
      <c r="K189" s="387" t="n">
        <f aca="false">K188-I189-L189-M189</f>
        <v>0</v>
      </c>
      <c r="L189" s="388"/>
      <c r="M189" s="389"/>
      <c r="N189" s="409"/>
      <c r="O189" s="409"/>
      <c r="P189" s="391" t="n">
        <f aca="false">IF(ISBLANK(L188),VALUE(P188),ROW(L188))</f>
        <v>10</v>
      </c>
      <c r="Q189" s="314" t="n">
        <f aca="false">Q188+P188-P189</f>
        <v>12</v>
      </c>
      <c r="R189" s="314" t="n">
        <f aca="false">INDEX(G:G,P189,1)</f>
        <v>69000</v>
      </c>
      <c r="S189" s="312"/>
    </row>
    <row r="190" s="379" customFormat="true" ht="14.9" hidden="false" customHeight="false" outlineLevel="0" collapsed="false">
      <c r="A190" s="380" t="n">
        <v>180</v>
      </c>
      <c r="B190" s="392" t="str">
        <f aca="false">CONCATENATE(INT((A190-1)/12)+1,"-й год ",A190-1-INT((A190-1)/12)*12+1,"-й мес")</f>
        <v>15-й год 12-й мес</v>
      </c>
      <c r="C190" s="393" t="n">
        <f aca="false">DATE(YEAR(C189),MONTH(C189)+1,DAY(C189))</f>
        <v>49341</v>
      </c>
      <c r="D190" s="394" t="n">
        <f aca="false">IFERROR(IF(R190*$D$4/100/12/(1-(1+$D$4/100/12)^(-Q190))&lt;G189,ROUNDUP(R190*$D$4/100/12/(1-(1+$D$4/100/12)^(-Q190)),0),G189+F190),0)</f>
        <v>0</v>
      </c>
      <c r="E190" s="395" t="n">
        <f aca="false">D190-F190</f>
        <v>0</v>
      </c>
      <c r="F190" s="395" t="n">
        <f aca="false">G189*$D$4*(C190-C189)/(DATE(YEAR(C190)+1,1,1)-DATE(YEAR(C190),1,1))/100</f>
        <v>0</v>
      </c>
      <c r="G190" s="385" t="n">
        <f aca="false">G189-E190-L190-M190</f>
        <v>0</v>
      </c>
      <c r="H190" s="386" t="n">
        <f aca="false">IFERROR(I190+J190,0)</f>
        <v>0</v>
      </c>
      <c r="I190" s="384" t="n">
        <f aca="false">IFERROR(IF($D$3/$D$5&lt;K189,$D$3/$D$5,K189),0)</f>
        <v>0</v>
      </c>
      <c r="J190" s="384" t="n">
        <f aca="false">K189*$D$4/12/100</f>
        <v>0</v>
      </c>
      <c r="K190" s="387" t="n">
        <f aca="false">K189-I190-L190-M190</f>
        <v>0</v>
      </c>
      <c r="L190" s="388"/>
      <c r="M190" s="389"/>
      <c r="N190" s="409"/>
      <c r="O190" s="409"/>
      <c r="P190" s="391" t="n">
        <f aca="false">IF(ISBLANK(L189),VALUE(P189),ROW(L189))</f>
        <v>10</v>
      </c>
      <c r="Q190" s="314" t="n">
        <f aca="false">Q189+P189-P190</f>
        <v>12</v>
      </c>
      <c r="R190" s="314" t="n">
        <f aca="false">INDEX(G:G,P190,1)</f>
        <v>69000</v>
      </c>
      <c r="S190" s="312"/>
    </row>
    <row r="191" s="379" customFormat="true" ht="14.9" hidden="false" customHeight="false" outlineLevel="0" collapsed="false">
      <c r="A191" s="396" t="n">
        <v>181</v>
      </c>
      <c r="B191" s="381" t="str">
        <f aca="false">CONCATENATE(INT((A191-1)/12)+1,"-й год ",A191-1-INT((A191-1)/12)*12+1,"-й мес")</f>
        <v>16-й год 1-й мес</v>
      </c>
      <c r="C191" s="382" t="n">
        <f aca="false">DATE(YEAR(C190),MONTH(C190)+1,DAY(C190))</f>
        <v>49369</v>
      </c>
      <c r="D191" s="383" t="n">
        <f aca="false">IFERROR(IF(R191*$D$4/100/12/(1-(1+$D$4/100/12)^(-Q191))&lt;G190,ROUNDUP(R191*$D$4/100/12/(1-(1+$D$4/100/12)^(-Q191)),0),G190+F191),0)</f>
        <v>0</v>
      </c>
      <c r="E191" s="384" t="n">
        <f aca="false">D191-F191</f>
        <v>0</v>
      </c>
      <c r="F191" s="384" t="n">
        <f aca="false">G190*$D$4*(C191-C190)/(DATE(YEAR(C191)+1,1,1)-DATE(YEAR(C191),1,1))/100</f>
        <v>0</v>
      </c>
      <c r="G191" s="397" t="n">
        <f aca="false">G190-E191-L191-M191</f>
        <v>0</v>
      </c>
      <c r="H191" s="398" t="n">
        <f aca="false">IFERROR(I191+J191,0)</f>
        <v>0</v>
      </c>
      <c r="I191" s="399" t="n">
        <f aca="false">IFERROR(IF($D$3/$D$5&lt;K190,$D$3/$D$5,K190),0)</f>
        <v>0</v>
      </c>
      <c r="J191" s="399" t="n">
        <f aca="false">K190*$D$4/12/100</f>
        <v>0</v>
      </c>
      <c r="K191" s="400" t="n">
        <f aca="false">K190-I191-L191-M191</f>
        <v>0</v>
      </c>
      <c r="L191" s="401"/>
      <c r="M191" s="402"/>
      <c r="N191" s="409"/>
      <c r="O191" s="409"/>
      <c r="P191" s="391" t="n">
        <f aca="false">IF(ISBLANK(L190),VALUE(P190),ROW(L190))</f>
        <v>10</v>
      </c>
      <c r="Q191" s="314" t="n">
        <f aca="false">Q190+P190-P191</f>
        <v>12</v>
      </c>
      <c r="R191" s="314" t="n">
        <f aca="false">INDEX(G:G,P191,1)</f>
        <v>69000</v>
      </c>
      <c r="S191" s="312"/>
    </row>
    <row r="192" s="379" customFormat="true" ht="14.9" hidden="false" customHeight="false" outlineLevel="0" collapsed="false">
      <c r="A192" s="403" t="n">
        <v>182</v>
      </c>
      <c r="B192" s="381" t="str">
        <f aca="false">CONCATENATE(INT((A192-1)/12)+1,"-й год ",A192-1-INT((A192-1)/12)*12+1,"-й мес")</f>
        <v>16-й год 2-й мес</v>
      </c>
      <c r="C192" s="382" t="n">
        <f aca="false">DATE(YEAR(C191),MONTH(C191)+1,DAY(C191))</f>
        <v>49400</v>
      </c>
      <c r="D192" s="383" t="n">
        <f aca="false">IFERROR(IF(R192*$D$4/100/12/(1-(1+$D$4/100/12)^(-Q192))&lt;G191,ROUNDUP(R192*$D$4/100/12/(1-(1+$D$4/100/12)^(-Q192)),0),G191+F192),0)</f>
        <v>0</v>
      </c>
      <c r="E192" s="384" t="n">
        <f aca="false">D192-F192</f>
        <v>0</v>
      </c>
      <c r="F192" s="384" t="n">
        <f aca="false">G191*$D$4*(C192-C191)/(DATE(YEAR(C192)+1,1,1)-DATE(YEAR(C192),1,1))/100</f>
        <v>0</v>
      </c>
      <c r="G192" s="385" t="n">
        <f aca="false">G191-E192-L192-M192</f>
        <v>0</v>
      </c>
      <c r="H192" s="386" t="n">
        <f aca="false">IFERROR(I192+J192,0)</f>
        <v>0</v>
      </c>
      <c r="I192" s="384" t="n">
        <f aca="false">IFERROR(IF($D$3/$D$5&lt;K191,$D$3/$D$5,K191),0)</f>
        <v>0</v>
      </c>
      <c r="J192" s="384" t="n">
        <f aca="false">K191*$D$4/12/100</f>
        <v>0</v>
      </c>
      <c r="K192" s="387" t="n">
        <f aca="false">K191-I192-L192-M192</f>
        <v>0</v>
      </c>
      <c r="L192" s="388"/>
      <c r="M192" s="389"/>
      <c r="N192" s="409"/>
      <c r="O192" s="409"/>
      <c r="P192" s="391" t="n">
        <f aca="false">IF(ISBLANK(L191),VALUE(P191),ROW(L191))</f>
        <v>10</v>
      </c>
      <c r="Q192" s="314" t="n">
        <f aca="false">Q191+P191-P192</f>
        <v>12</v>
      </c>
      <c r="R192" s="314" t="n">
        <f aca="false">INDEX(G:G,P192,1)</f>
        <v>69000</v>
      </c>
      <c r="S192" s="312"/>
    </row>
    <row r="193" s="379" customFormat="true" ht="14.9" hidden="false" customHeight="false" outlineLevel="0" collapsed="false">
      <c r="A193" s="403" t="n">
        <v>183</v>
      </c>
      <c r="B193" s="381" t="str">
        <f aca="false">CONCATENATE(INT((A193-1)/12)+1,"-й год ",A193-1-INT((A193-1)/12)*12+1,"-й мес")</f>
        <v>16-й год 3-й мес</v>
      </c>
      <c r="C193" s="382" t="n">
        <f aca="false">DATE(YEAR(C192),MONTH(C192)+1,DAY(C192))</f>
        <v>49430</v>
      </c>
      <c r="D193" s="383" t="n">
        <f aca="false">IFERROR(IF(R193*$D$4/100/12/(1-(1+$D$4/100/12)^(-Q193))&lt;G192,ROUNDUP(R193*$D$4/100/12/(1-(1+$D$4/100/12)^(-Q193)),0),G192+F193),0)</f>
        <v>0</v>
      </c>
      <c r="E193" s="384" t="n">
        <f aca="false">D193-F193</f>
        <v>0</v>
      </c>
      <c r="F193" s="384" t="n">
        <f aca="false">G192*$D$4*(C193-C192)/(DATE(YEAR(C193)+1,1,1)-DATE(YEAR(C193),1,1))/100</f>
        <v>0</v>
      </c>
      <c r="G193" s="385" t="n">
        <f aca="false">G192-E193-L193-M193</f>
        <v>0</v>
      </c>
      <c r="H193" s="386" t="n">
        <f aca="false">IFERROR(I193+J193,0)</f>
        <v>0</v>
      </c>
      <c r="I193" s="384" t="n">
        <f aca="false">IFERROR(IF($D$3/$D$5&lt;K192,$D$3/$D$5,K192),0)</f>
        <v>0</v>
      </c>
      <c r="J193" s="384" t="n">
        <f aca="false">K192*$D$4/12/100</f>
        <v>0</v>
      </c>
      <c r="K193" s="387" t="n">
        <f aca="false">K192-I193-L193-M193</f>
        <v>0</v>
      </c>
      <c r="L193" s="388"/>
      <c r="M193" s="389"/>
      <c r="N193" s="409"/>
      <c r="O193" s="409"/>
      <c r="P193" s="391" t="n">
        <f aca="false">IF(ISBLANK(L192),VALUE(P192),ROW(L192))</f>
        <v>10</v>
      </c>
      <c r="Q193" s="314" t="n">
        <f aca="false">Q192+P192-P193</f>
        <v>12</v>
      </c>
      <c r="R193" s="314" t="n">
        <f aca="false">INDEX(G:G,P193,1)</f>
        <v>69000</v>
      </c>
      <c r="S193" s="312"/>
    </row>
    <row r="194" s="379" customFormat="true" ht="14.9" hidden="false" customHeight="false" outlineLevel="0" collapsed="false">
      <c r="A194" s="403" t="n">
        <v>184</v>
      </c>
      <c r="B194" s="381" t="str">
        <f aca="false">CONCATENATE(INT((A194-1)/12)+1,"-й год ",A194-1-INT((A194-1)/12)*12+1,"-й мес")</f>
        <v>16-й год 4-й мес</v>
      </c>
      <c r="C194" s="382" t="n">
        <f aca="false">DATE(YEAR(C193),MONTH(C193)+1,DAY(C193))</f>
        <v>49461</v>
      </c>
      <c r="D194" s="383" t="n">
        <f aca="false">IFERROR(IF(R194*$D$4/100/12/(1-(1+$D$4/100/12)^(-Q194))&lt;G193,ROUNDUP(R194*$D$4/100/12/(1-(1+$D$4/100/12)^(-Q194)),0),G193+F194),0)</f>
        <v>0</v>
      </c>
      <c r="E194" s="384" t="n">
        <f aca="false">D194-F194</f>
        <v>0</v>
      </c>
      <c r="F194" s="384" t="n">
        <f aca="false">G193*$D$4*(C194-C193)/(DATE(YEAR(C194)+1,1,1)-DATE(YEAR(C194),1,1))/100</f>
        <v>0</v>
      </c>
      <c r="G194" s="385" t="n">
        <f aca="false">G193-E194-L194-M194</f>
        <v>0</v>
      </c>
      <c r="H194" s="386" t="n">
        <f aca="false">IFERROR(I194+J194,0)</f>
        <v>0</v>
      </c>
      <c r="I194" s="384" t="n">
        <f aca="false">IFERROR(IF($D$3/$D$5&lt;K193,$D$3/$D$5,K193),0)</f>
        <v>0</v>
      </c>
      <c r="J194" s="384" t="n">
        <f aca="false">K193*$D$4/12/100</f>
        <v>0</v>
      </c>
      <c r="K194" s="387" t="n">
        <f aca="false">K193-I194-L194-M194</f>
        <v>0</v>
      </c>
      <c r="L194" s="388"/>
      <c r="M194" s="389"/>
      <c r="N194" s="409"/>
      <c r="O194" s="409"/>
      <c r="P194" s="391" t="n">
        <f aca="false">IF(ISBLANK(L193),VALUE(P193),ROW(L193))</f>
        <v>10</v>
      </c>
      <c r="Q194" s="314" t="n">
        <f aca="false">Q193+P193-P194</f>
        <v>12</v>
      </c>
      <c r="R194" s="314" t="n">
        <f aca="false">INDEX(G:G,P194,1)</f>
        <v>69000</v>
      </c>
      <c r="S194" s="312"/>
    </row>
    <row r="195" s="379" customFormat="true" ht="14.9" hidden="false" customHeight="false" outlineLevel="0" collapsed="false">
      <c r="A195" s="403" t="n">
        <v>185</v>
      </c>
      <c r="B195" s="381" t="str">
        <f aca="false">CONCATENATE(INT((A195-1)/12)+1,"-й год ",A195-1-INT((A195-1)/12)*12+1,"-й мес")</f>
        <v>16-й год 5-й мес</v>
      </c>
      <c r="C195" s="382" t="n">
        <f aca="false">DATE(YEAR(C194),MONTH(C194)+1,DAY(C194))</f>
        <v>49491</v>
      </c>
      <c r="D195" s="383" t="n">
        <f aca="false">IFERROR(IF(R195*$D$4/100/12/(1-(1+$D$4/100/12)^(-Q195))&lt;G194,ROUNDUP(R195*$D$4/100/12/(1-(1+$D$4/100/12)^(-Q195)),0),G194+F195),0)</f>
        <v>0</v>
      </c>
      <c r="E195" s="384" t="n">
        <f aca="false">D195-F195</f>
        <v>0</v>
      </c>
      <c r="F195" s="384" t="n">
        <f aca="false">G194*$D$4*(C195-C194)/(DATE(YEAR(C195)+1,1,1)-DATE(YEAR(C195),1,1))/100</f>
        <v>0</v>
      </c>
      <c r="G195" s="385" t="n">
        <f aca="false">G194-E195-L195-M195</f>
        <v>0</v>
      </c>
      <c r="H195" s="386" t="n">
        <f aca="false">IFERROR(I195+J195,0)</f>
        <v>0</v>
      </c>
      <c r="I195" s="384" t="n">
        <f aca="false">IFERROR(IF($D$3/$D$5&lt;K194,$D$3/$D$5,K194),0)</f>
        <v>0</v>
      </c>
      <c r="J195" s="384" t="n">
        <f aca="false">K194*$D$4/12/100</f>
        <v>0</v>
      </c>
      <c r="K195" s="387" t="n">
        <f aca="false">K194-I195-L195-M195</f>
        <v>0</v>
      </c>
      <c r="L195" s="388"/>
      <c r="M195" s="389"/>
      <c r="N195" s="409"/>
      <c r="O195" s="409"/>
      <c r="P195" s="391" t="n">
        <f aca="false">IF(ISBLANK(L194),VALUE(P194),ROW(L194))</f>
        <v>10</v>
      </c>
      <c r="Q195" s="314" t="n">
        <f aca="false">Q194+P194-P195</f>
        <v>12</v>
      </c>
      <c r="R195" s="314" t="n">
        <f aca="false">INDEX(G:G,P195,1)</f>
        <v>69000</v>
      </c>
      <c r="S195" s="312"/>
    </row>
    <row r="196" s="379" customFormat="true" ht="14.9" hidden="false" customHeight="false" outlineLevel="0" collapsed="false">
      <c r="A196" s="403" t="n">
        <v>186</v>
      </c>
      <c r="B196" s="381" t="str">
        <f aca="false">CONCATENATE(INT((A196-1)/12)+1,"-й год ",A196-1-INT((A196-1)/12)*12+1,"-й мес")</f>
        <v>16-й год 6-й мес</v>
      </c>
      <c r="C196" s="382" t="n">
        <f aca="false">DATE(YEAR(C195),MONTH(C195)+1,DAY(C195))</f>
        <v>49522</v>
      </c>
      <c r="D196" s="383" t="n">
        <f aca="false">IFERROR(IF(R196*$D$4/100/12/(1-(1+$D$4/100/12)^(-Q196))&lt;G195,ROUNDUP(R196*$D$4/100/12/(1-(1+$D$4/100/12)^(-Q196)),0),G195+F196),0)</f>
        <v>0</v>
      </c>
      <c r="E196" s="384" t="n">
        <f aca="false">D196-F196</f>
        <v>0</v>
      </c>
      <c r="F196" s="384" t="n">
        <f aca="false">G195*$D$4*(C196-C195)/(DATE(YEAR(C196)+1,1,1)-DATE(YEAR(C196),1,1))/100</f>
        <v>0</v>
      </c>
      <c r="G196" s="385" t="n">
        <f aca="false">G195-E196-L196-M196</f>
        <v>0</v>
      </c>
      <c r="H196" s="386" t="n">
        <f aca="false">IFERROR(I196+J196,0)</f>
        <v>0</v>
      </c>
      <c r="I196" s="384" t="n">
        <f aca="false">IFERROR(IF($D$3/$D$5&lt;K195,$D$3/$D$5,K195),0)</f>
        <v>0</v>
      </c>
      <c r="J196" s="384" t="n">
        <f aca="false">K195*$D$4/12/100</f>
        <v>0</v>
      </c>
      <c r="K196" s="387" t="n">
        <f aca="false">K195-I196-L196-M196</f>
        <v>0</v>
      </c>
      <c r="L196" s="388"/>
      <c r="M196" s="389"/>
      <c r="N196" s="409"/>
      <c r="O196" s="409"/>
      <c r="P196" s="391" t="n">
        <f aca="false">IF(ISBLANK(L195),VALUE(P195),ROW(L195))</f>
        <v>10</v>
      </c>
      <c r="Q196" s="314" t="n">
        <f aca="false">Q195+P195-P196</f>
        <v>12</v>
      </c>
      <c r="R196" s="314" t="n">
        <f aca="false">INDEX(G:G,P196,1)</f>
        <v>69000</v>
      </c>
      <c r="S196" s="312"/>
    </row>
    <row r="197" s="379" customFormat="true" ht="14.9" hidden="false" customHeight="false" outlineLevel="0" collapsed="false">
      <c r="A197" s="403" t="n">
        <v>187</v>
      </c>
      <c r="B197" s="381" t="str">
        <f aca="false">CONCATENATE(INT((A197-1)/12)+1,"-й год ",A197-1-INT((A197-1)/12)*12+1,"-й мес")</f>
        <v>16-й год 7-й мес</v>
      </c>
      <c r="C197" s="382" t="n">
        <f aca="false">DATE(YEAR(C196),MONTH(C196)+1,DAY(C196))</f>
        <v>49553</v>
      </c>
      <c r="D197" s="383" t="n">
        <f aca="false">IFERROR(IF(R197*$D$4/100/12/(1-(1+$D$4/100/12)^(-Q197))&lt;G196,ROUNDUP(R197*$D$4/100/12/(1-(1+$D$4/100/12)^(-Q197)),0),G196+F197),0)</f>
        <v>0</v>
      </c>
      <c r="E197" s="384" t="n">
        <f aca="false">D197-F197</f>
        <v>0</v>
      </c>
      <c r="F197" s="384" t="n">
        <f aca="false">G196*$D$4*(C197-C196)/(DATE(YEAR(C197)+1,1,1)-DATE(YEAR(C197),1,1))/100</f>
        <v>0</v>
      </c>
      <c r="G197" s="385" t="n">
        <f aca="false">G196-E197-L197-M197</f>
        <v>0</v>
      </c>
      <c r="H197" s="386" t="n">
        <f aca="false">IFERROR(I197+J197,0)</f>
        <v>0</v>
      </c>
      <c r="I197" s="384" t="n">
        <f aca="false">IFERROR(IF($D$3/$D$5&lt;K196,$D$3/$D$5,K196),0)</f>
        <v>0</v>
      </c>
      <c r="J197" s="384" t="n">
        <f aca="false">K196*$D$4/12/100</f>
        <v>0</v>
      </c>
      <c r="K197" s="387" t="n">
        <f aca="false">K196-I197-L197-M197</f>
        <v>0</v>
      </c>
      <c r="L197" s="388"/>
      <c r="M197" s="389"/>
      <c r="N197" s="409"/>
      <c r="O197" s="409"/>
      <c r="P197" s="391" t="n">
        <f aca="false">IF(ISBLANK(L196),VALUE(P196),ROW(L196))</f>
        <v>10</v>
      </c>
      <c r="Q197" s="314" t="n">
        <f aca="false">Q196+P196-P197</f>
        <v>12</v>
      </c>
      <c r="R197" s="314" t="n">
        <f aca="false">INDEX(G:G,P197,1)</f>
        <v>69000</v>
      </c>
      <c r="S197" s="312"/>
    </row>
    <row r="198" s="379" customFormat="true" ht="14.9" hidden="false" customHeight="false" outlineLevel="0" collapsed="false">
      <c r="A198" s="403" t="n">
        <v>188</v>
      </c>
      <c r="B198" s="381" t="str">
        <f aca="false">CONCATENATE(INT((A198-1)/12)+1,"-й год ",A198-1-INT((A198-1)/12)*12+1,"-й мес")</f>
        <v>16-й год 8-й мес</v>
      </c>
      <c r="C198" s="382" t="n">
        <f aca="false">DATE(YEAR(C197),MONTH(C197)+1,DAY(C197))</f>
        <v>49583</v>
      </c>
      <c r="D198" s="383" t="n">
        <f aca="false">IFERROR(IF(R198*$D$4/100/12/(1-(1+$D$4/100/12)^(-Q198))&lt;G197,ROUNDUP(R198*$D$4/100/12/(1-(1+$D$4/100/12)^(-Q198)),0),G197+F198),0)</f>
        <v>0</v>
      </c>
      <c r="E198" s="384" t="n">
        <f aca="false">D198-F198</f>
        <v>0</v>
      </c>
      <c r="F198" s="384" t="n">
        <f aca="false">G197*$D$4*(C198-C197)/(DATE(YEAR(C198)+1,1,1)-DATE(YEAR(C198),1,1))/100</f>
        <v>0</v>
      </c>
      <c r="G198" s="385" t="n">
        <f aca="false">G197-E198-L198-M198</f>
        <v>0</v>
      </c>
      <c r="H198" s="386" t="n">
        <f aca="false">IFERROR(I198+J198,0)</f>
        <v>0</v>
      </c>
      <c r="I198" s="384" t="n">
        <f aca="false">IFERROR(IF($D$3/$D$5&lt;K197,$D$3/$D$5,K197),0)</f>
        <v>0</v>
      </c>
      <c r="J198" s="384" t="n">
        <f aca="false">K197*$D$4/12/100</f>
        <v>0</v>
      </c>
      <c r="K198" s="387" t="n">
        <f aca="false">K197-I198-L198-M198</f>
        <v>0</v>
      </c>
      <c r="L198" s="388"/>
      <c r="M198" s="389"/>
      <c r="N198" s="409"/>
      <c r="O198" s="409"/>
      <c r="P198" s="391" t="n">
        <f aca="false">IF(ISBLANK(L197),VALUE(P197),ROW(L197))</f>
        <v>10</v>
      </c>
      <c r="Q198" s="314" t="n">
        <f aca="false">Q197+P197-P198</f>
        <v>12</v>
      </c>
      <c r="R198" s="314" t="n">
        <f aca="false">INDEX(G:G,P198,1)</f>
        <v>69000</v>
      </c>
      <c r="S198" s="312"/>
    </row>
    <row r="199" s="379" customFormat="true" ht="14.9" hidden="false" customHeight="false" outlineLevel="0" collapsed="false">
      <c r="A199" s="403" t="n">
        <v>189</v>
      </c>
      <c r="B199" s="381" t="str">
        <f aca="false">CONCATENATE(INT((A199-1)/12)+1,"-й год ",A199-1-INT((A199-1)/12)*12+1,"-й мес")</f>
        <v>16-й год 9-й мес</v>
      </c>
      <c r="C199" s="382" t="n">
        <f aca="false">DATE(YEAR(C198),MONTH(C198)+1,DAY(C198))</f>
        <v>49614</v>
      </c>
      <c r="D199" s="383" t="n">
        <f aca="false">IFERROR(IF(R199*$D$4/100/12/(1-(1+$D$4/100/12)^(-Q199))&lt;G198,ROUNDUP(R199*$D$4/100/12/(1-(1+$D$4/100/12)^(-Q199)),0),G198+F199),0)</f>
        <v>0</v>
      </c>
      <c r="E199" s="384" t="n">
        <f aca="false">D199-F199</f>
        <v>0</v>
      </c>
      <c r="F199" s="384" t="n">
        <f aca="false">G198*$D$4*(C199-C198)/(DATE(YEAR(C199)+1,1,1)-DATE(YEAR(C199),1,1))/100</f>
        <v>0</v>
      </c>
      <c r="G199" s="385" t="n">
        <f aca="false">G198-E199-L199-M199</f>
        <v>0</v>
      </c>
      <c r="H199" s="386" t="n">
        <f aca="false">IFERROR(I199+J199,0)</f>
        <v>0</v>
      </c>
      <c r="I199" s="384" t="n">
        <f aca="false">IFERROR(IF($D$3/$D$5&lt;K198,$D$3/$D$5,K198),0)</f>
        <v>0</v>
      </c>
      <c r="J199" s="384" t="n">
        <f aca="false">K198*$D$4/12/100</f>
        <v>0</v>
      </c>
      <c r="K199" s="387" t="n">
        <f aca="false">K198-I199-L199-M199</f>
        <v>0</v>
      </c>
      <c r="L199" s="388"/>
      <c r="M199" s="389"/>
      <c r="N199" s="409"/>
      <c r="O199" s="409"/>
      <c r="P199" s="391" t="n">
        <f aca="false">IF(ISBLANK(L198),VALUE(P198),ROW(L198))</f>
        <v>10</v>
      </c>
      <c r="Q199" s="314" t="n">
        <f aca="false">Q198+P198-P199</f>
        <v>12</v>
      </c>
      <c r="R199" s="314" t="n">
        <f aca="false">INDEX(G:G,P199,1)</f>
        <v>69000</v>
      </c>
      <c r="S199" s="312"/>
    </row>
    <row r="200" s="379" customFormat="true" ht="14.9" hidden="false" customHeight="false" outlineLevel="0" collapsed="false">
      <c r="A200" s="403" t="n">
        <v>190</v>
      </c>
      <c r="B200" s="381" t="str">
        <f aca="false">CONCATENATE(INT((A200-1)/12)+1,"-й год ",A200-1-INT((A200-1)/12)*12+1,"-й мес")</f>
        <v>16-й год 10-й мес</v>
      </c>
      <c r="C200" s="382" t="n">
        <f aca="false">DATE(YEAR(C199),MONTH(C199)+1,DAY(C199))</f>
        <v>49644</v>
      </c>
      <c r="D200" s="383" t="n">
        <f aca="false">IFERROR(IF(R200*$D$4/100/12/(1-(1+$D$4/100/12)^(-Q200))&lt;G199,ROUNDUP(R200*$D$4/100/12/(1-(1+$D$4/100/12)^(-Q200)),0),G199+F200),0)</f>
        <v>0</v>
      </c>
      <c r="E200" s="384" t="n">
        <f aca="false">D200-F200</f>
        <v>0</v>
      </c>
      <c r="F200" s="384" t="n">
        <f aca="false">G199*$D$4*(C200-C199)/(DATE(YEAR(C200)+1,1,1)-DATE(YEAR(C200),1,1))/100</f>
        <v>0</v>
      </c>
      <c r="G200" s="385" t="n">
        <f aca="false">G199-E200-L200-M200</f>
        <v>0</v>
      </c>
      <c r="H200" s="386" t="n">
        <f aca="false">IFERROR(I200+J200,0)</f>
        <v>0</v>
      </c>
      <c r="I200" s="384" t="n">
        <f aca="false">IFERROR(IF($D$3/$D$5&lt;K199,$D$3/$D$5,K199),0)</f>
        <v>0</v>
      </c>
      <c r="J200" s="384" t="n">
        <f aca="false">K199*$D$4/12/100</f>
        <v>0</v>
      </c>
      <c r="K200" s="387" t="n">
        <f aca="false">K199-I200-L200-M200</f>
        <v>0</v>
      </c>
      <c r="L200" s="388"/>
      <c r="M200" s="389"/>
      <c r="N200" s="409"/>
      <c r="O200" s="409"/>
      <c r="P200" s="391" t="n">
        <f aca="false">IF(ISBLANK(L199),VALUE(P199),ROW(L199))</f>
        <v>10</v>
      </c>
      <c r="Q200" s="314" t="n">
        <f aca="false">Q199+P199-P200</f>
        <v>12</v>
      </c>
      <c r="R200" s="314" t="n">
        <f aca="false">INDEX(G:G,P200,1)</f>
        <v>69000</v>
      </c>
      <c r="S200" s="312"/>
    </row>
    <row r="201" s="379" customFormat="true" ht="14.9" hidden="false" customHeight="false" outlineLevel="0" collapsed="false">
      <c r="A201" s="403" t="n">
        <v>191</v>
      </c>
      <c r="B201" s="381" t="str">
        <f aca="false">CONCATENATE(INT((A201-1)/12)+1,"-й год ",A201-1-INT((A201-1)/12)*12+1,"-й мес")</f>
        <v>16-й год 11-й мес</v>
      </c>
      <c r="C201" s="382" t="n">
        <f aca="false">DATE(YEAR(C200),MONTH(C200)+1,DAY(C200))</f>
        <v>49675</v>
      </c>
      <c r="D201" s="383" t="n">
        <f aca="false">IFERROR(IF(R201*$D$4/100/12/(1-(1+$D$4/100/12)^(-Q201))&lt;G200,ROUNDUP(R201*$D$4/100/12/(1-(1+$D$4/100/12)^(-Q201)),0),G200+F201),0)</f>
        <v>0</v>
      </c>
      <c r="E201" s="384" t="n">
        <f aca="false">D201-F201</f>
        <v>0</v>
      </c>
      <c r="F201" s="384" t="n">
        <f aca="false">G200*$D$4*(C201-C200)/(DATE(YEAR(C201)+1,1,1)-DATE(YEAR(C201),1,1))/100</f>
        <v>0</v>
      </c>
      <c r="G201" s="385" t="n">
        <f aca="false">G200-E201-L201-M201</f>
        <v>0</v>
      </c>
      <c r="H201" s="386" t="n">
        <f aca="false">IFERROR(I201+J201,0)</f>
        <v>0</v>
      </c>
      <c r="I201" s="384" t="n">
        <f aca="false">IFERROR(IF($D$3/$D$5&lt;K200,$D$3/$D$5,K200),0)</f>
        <v>0</v>
      </c>
      <c r="J201" s="384" t="n">
        <f aca="false">K200*$D$4/12/100</f>
        <v>0</v>
      </c>
      <c r="K201" s="387" t="n">
        <f aca="false">K200-I201-L201-M201</f>
        <v>0</v>
      </c>
      <c r="L201" s="388"/>
      <c r="M201" s="389"/>
      <c r="N201" s="409"/>
      <c r="O201" s="409"/>
      <c r="P201" s="391" t="n">
        <f aca="false">IF(ISBLANK(L200),VALUE(P200),ROW(L200))</f>
        <v>10</v>
      </c>
      <c r="Q201" s="314" t="n">
        <f aca="false">Q200+P200-P201</f>
        <v>12</v>
      </c>
      <c r="R201" s="314" t="n">
        <f aca="false">INDEX(G:G,P201,1)</f>
        <v>69000</v>
      </c>
      <c r="S201" s="312"/>
    </row>
    <row r="202" s="379" customFormat="true" ht="14.9" hidden="false" customHeight="false" outlineLevel="0" collapsed="false">
      <c r="A202" s="404" t="n">
        <v>192</v>
      </c>
      <c r="B202" s="392" t="str">
        <f aca="false">CONCATENATE(INT((A202-1)/12)+1,"-й год ",A202-1-INT((A202-1)/12)*12+1,"-й мес")</f>
        <v>16-й год 12-й мес</v>
      </c>
      <c r="C202" s="393" t="n">
        <f aca="false">DATE(YEAR(C201),MONTH(C201)+1,DAY(C201))</f>
        <v>49706</v>
      </c>
      <c r="D202" s="394" t="n">
        <f aca="false">IFERROR(IF(R202*$D$4/100/12/(1-(1+$D$4/100/12)^(-Q202))&lt;G201,ROUNDUP(R202*$D$4/100/12/(1-(1+$D$4/100/12)^(-Q202)),0),G201+F202),0)</f>
        <v>0</v>
      </c>
      <c r="E202" s="395" t="n">
        <f aca="false">D202-F202</f>
        <v>0</v>
      </c>
      <c r="F202" s="395" t="n">
        <f aca="false">G201*$D$4*(C202-C201)/(DATE(YEAR(C202)+1,1,1)-DATE(YEAR(C202),1,1))/100</f>
        <v>0</v>
      </c>
      <c r="G202" s="405" t="n">
        <f aca="false">G201-E202-L202-M202</f>
        <v>0</v>
      </c>
      <c r="H202" s="406" t="n">
        <f aca="false">IFERROR(I202+J202,0)</f>
        <v>0</v>
      </c>
      <c r="I202" s="395" t="n">
        <f aca="false">IFERROR(IF($D$3/$D$5&lt;K201,$D$3/$D$5,K201),0)</f>
        <v>0</v>
      </c>
      <c r="J202" s="395" t="n">
        <f aca="false">K201*$D$4/12/100</f>
        <v>0</v>
      </c>
      <c r="K202" s="407" t="n">
        <f aca="false">K201-I202-L202-M202</f>
        <v>0</v>
      </c>
      <c r="L202" s="408"/>
      <c r="M202" s="410"/>
      <c r="N202" s="409"/>
      <c r="O202" s="409"/>
      <c r="P202" s="391" t="n">
        <f aca="false">IF(ISBLANK(L201),VALUE(P201),ROW(L201))</f>
        <v>10</v>
      </c>
      <c r="Q202" s="314" t="n">
        <f aca="false">Q201+P201-P202</f>
        <v>12</v>
      </c>
      <c r="R202" s="314" t="n">
        <f aca="false">INDEX(G:G,P202,1)</f>
        <v>69000</v>
      </c>
      <c r="S202" s="312"/>
    </row>
    <row r="203" s="379" customFormat="true" ht="14.9" hidden="false" customHeight="false" outlineLevel="0" collapsed="false">
      <c r="A203" s="380" t="n">
        <v>193</v>
      </c>
      <c r="B203" s="381" t="str">
        <f aca="false">CONCATENATE(INT((A203-1)/12)+1,"-й год ",A203-1-INT((A203-1)/12)*12+1,"-й мес")</f>
        <v>17-й год 1-й мес</v>
      </c>
      <c r="C203" s="382" t="n">
        <f aca="false">DATE(YEAR(C202),MONTH(C202)+1,DAY(C202))</f>
        <v>49735</v>
      </c>
      <c r="D203" s="383" t="n">
        <f aca="false">IFERROR(IF(R203*$D$4/100/12/(1-(1+$D$4/100/12)^(-Q203))&lt;G202,ROUNDUP(R203*$D$4/100/12/(1-(1+$D$4/100/12)^(-Q203)),0),G202+F203),0)</f>
        <v>0</v>
      </c>
      <c r="E203" s="384" t="n">
        <f aca="false">D203-F203</f>
        <v>0</v>
      </c>
      <c r="F203" s="384" t="n">
        <f aca="false">G202*$D$4*(C203-C202)/(DATE(YEAR(C203)+1,1,1)-DATE(YEAR(C203),1,1))/100</f>
        <v>0</v>
      </c>
      <c r="G203" s="385" t="n">
        <f aca="false">G202-E203-L203-M203</f>
        <v>0</v>
      </c>
      <c r="H203" s="386" t="n">
        <f aca="false">IFERROR(I203+J203,0)</f>
        <v>0</v>
      </c>
      <c r="I203" s="384" t="n">
        <f aca="false">IFERROR(IF($D$3/$D$5&lt;K202,$D$3/$D$5,K202),0)</f>
        <v>0</v>
      </c>
      <c r="J203" s="384" t="n">
        <f aca="false">K202*$D$4/12/100</f>
        <v>0</v>
      </c>
      <c r="K203" s="387" t="n">
        <f aca="false">K202-I203-L203-M203</f>
        <v>0</v>
      </c>
      <c r="L203" s="388"/>
      <c r="M203" s="389"/>
      <c r="N203" s="409"/>
      <c r="O203" s="409"/>
      <c r="P203" s="391" t="n">
        <f aca="false">IF(ISBLANK(L202),VALUE(P202),ROW(L202))</f>
        <v>10</v>
      </c>
      <c r="Q203" s="314" t="n">
        <f aca="false">Q202+P202-P203</f>
        <v>12</v>
      </c>
      <c r="R203" s="314" t="n">
        <f aca="false">INDEX(G:G,P203,1)</f>
        <v>69000</v>
      </c>
      <c r="S203" s="312"/>
    </row>
    <row r="204" s="379" customFormat="true" ht="14.9" hidden="false" customHeight="false" outlineLevel="0" collapsed="false">
      <c r="A204" s="380" t="n">
        <v>194</v>
      </c>
      <c r="B204" s="381" t="str">
        <f aca="false">CONCATENATE(INT((A204-1)/12)+1,"-й год ",A204-1-INT((A204-1)/12)*12+1,"-й мес")</f>
        <v>17-й год 2-й мес</v>
      </c>
      <c r="C204" s="382" t="n">
        <f aca="false">DATE(YEAR(C203),MONTH(C203)+1,DAY(C203))</f>
        <v>49766</v>
      </c>
      <c r="D204" s="383" t="n">
        <f aca="false">IFERROR(IF(R204*$D$4/100/12/(1-(1+$D$4/100/12)^(-Q204))&lt;G203,ROUNDUP(R204*$D$4/100/12/(1-(1+$D$4/100/12)^(-Q204)),0),G203+F204),0)</f>
        <v>0</v>
      </c>
      <c r="E204" s="384" t="n">
        <f aca="false">D204-F204</f>
        <v>0</v>
      </c>
      <c r="F204" s="384" t="n">
        <f aca="false">G203*$D$4*(C204-C203)/(DATE(YEAR(C204)+1,1,1)-DATE(YEAR(C204),1,1))/100</f>
        <v>0</v>
      </c>
      <c r="G204" s="385" t="n">
        <f aca="false">G203-E204-L204-M204</f>
        <v>0</v>
      </c>
      <c r="H204" s="386" t="n">
        <f aca="false">IFERROR(I204+J204,0)</f>
        <v>0</v>
      </c>
      <c r="I204" s="384" t="n">
        <f aca="false">IFERROR(IF($D$3/$D$5&lt;K203,$D$3/$D$5,K203),0)</f>
        <v>0</v>
      </c>
      <c r="J204" s="384" t="n">
        <f aca="false">K203*$D$4/12/100</f>
        <v>0</v>
      </c>
      <c r="K204" s="387" t="n">
        <f aca="false">K203-I204-L204-M204</f>
        <v>0</v>
      </c>
      <c r="L204" s="388"/>
      <c r="M204" s="389"/>
      <c r="N204" s="409"/>
      <c r="O204" s="409"/>
      <c r="P204" s="391" t="n">
        <f aca="false">IF(ISBLANK(L203),VALUE(P203),ROW(L203))</f>
        <v>10</v>
      </c>
      <c r="Q204" s="314" t="n">
        <f aca="false">Q203+P203-P204</f>
        <v>12</v>
      </c>
      <c r="R204" s="314" t="n">
        <f aca="false">INDEX(G:G,P204,1)</f>
        <v>69000</v>
      </c>
      <c r="S204" s="312"/>
    </row>
    <row r="205" s="379" customFormat="true" ht="14.9" hidden="false" customHeight="false" outlineLevel="0" collapsed="false">
      <c r="A205" s="380" t="n">
        <v>195</v>
      </c>
      <c r="B205" s="381" t="str">
        <f aca="false">CONCATENATE(INT((A205-1)/12)+1,"-й год ",A205-1-INT((A205-1)/12)*12+1,"-й мес")</f>
        <v>17-й год 3-й мес</v>
      </c>
      <c r="C205" s="382" t="n">
        <f aca="false">DATE(YEAR(C204),MONTH(C204)+1,DAY(C204))</f>
        <v>49796</v>
      </c>
      <c r="D205" s="383" t="n">
        <f aca="false">IFERROR(IF(R205*$D$4/100/12/(1-(1+$D$4/100/12)^(-Q205))&lt;G204,ROUNDUP(R205*$D$4/100/12/(1-(1+$D$4/100/12)^(-Q205)),0),G204+F205),0)</f>
        <v>0</v>
      </c>
      <c r="E205" s="384" t="n">
        <f aca="false">D205-F205</f>
        <v>0</v>
      </c>
      <c r="F205" s="384" t="n">
        <f aca="false">G204*$D$4*(C205-C204)/(DATE(YEAR(C205)+1,1,1)-DATE(YEAR(C205),1,1))/100</f>
        <v>0</v>
      </c>
      <c r="G205" s="385" t="n">
        <f aca="false">G204-E205-L205-M205</f>
        <v>0</v>
      </c>
      <c r="H205" s="386" t="n">
        <f aca="false">IFERROR(I205+J205,0)</f>
        <v>0</v>
      </c>
      <c r="I205" s="384" t="n">
        <f aca="false">IFERROR(IF($D$3/$D$5&lt;K204,$D$3/$D$5,K204),0)</f>
        <v>0</v>
      </c>
      <c r="J205" s="384" t="n">
        <f aca="false">K204*$D$4/12/100</f>
        <v>0</v>
      </c>
      <c r="K205" s="387" t="n">
        <f aca="false">K204-I205-L205-M205</f>
        <v>0</v>
      </c>
      <c r="L205" s="388"/>
      <c r="M205" s="389"/>
      <c r="N205" s="409"/>
      <c r="O205" s="409"/>
      <c r="P205" s="391" t="n">
        <f aca="false">IF(ISBLANK(L204),VALUE(P204),ROW(L204))</f>
        <v>10</v>
      </c>
      <c r="Q205" s="314" t="n">
        <f aca="false">Q204+P204-P205</f>
        <v>12</v>
      </c>
      <c r="R205" s="314" t="n">
        <f aca="false">INDEX(G:G,P205,1)</f>
        <v>69000</v>
      </c>
      <c r="S205" s="312"/>
    </row>
    <row r="206" s="379" customFormat="true" ht="14.9" hidden="false" customHeight="false" outlineLevel="0" collapsed="false">
      <c r="A206" s="380" t="n">
        <v>196</v>
      </c>
      <c r="B206" s="381" t="str">
        <f aca="false">CONCATENATE(INT((A206-1)/12)+1,"-й год ",A206-1-INT((A206-1)/12)*12+1,"-й мес")</f>
        <v>17-й год 4-й мес</v>
      </c>
      <c r="C206" s="382" t="n">
        <f aca="false">DATE(YEAR(C205),MONTH(C205)+1,DAY(C205))</f>
        <v>49827</v>
      </c>
      <c r="D206" s="383" t="n">
        <f aca="false">IFERROR(IF(R206*$D$4/100/12/(1-(1+$D$4/100/12)^(-Q206))&lt;G205,ROUNDUP(R206*$D$4/100/12/(1-(1+$D$4/100/12)^(-Q206)),0),G205+F206),0)</f>
        <v>0</v>
      </c>
      <c r="E206" s="384" t="n">
        <f aca="false">D206-F206</f>
        <v>0</v>
      </c>
      <c r="F206" s="384" t="n">
        <f aca="false">G205*$D$4*(C206-C205)/(DATE(YEAR(C206)+1,1,1)-DATE(YEAR(C206),1,1))/100</f>
        <v>0</v>
      </c>
      <c r="G206" s="385" t="n">
        <f aca="false">G205-E206-L206-M206</f>
        <v>0</v>
      </c>
      <c r="H206" s="386" t="n">
        <f aca="false">IFERROR(I206+J206,0)</f>
        <v>0</v>
      </c>
      <c r="I206" s="384" t="n">
        <f aca="false">IFERROR(IF($D$3/$D$5&lt;K205,$D$3/$D$5,K205),0)</f>
        <v>0</v>
      </c>
      <c r="J206" s="384" t="n">
        <f aca="false">K205*$D$4/12/100</f>
        <v>0</v>
      </c>
      <c r="K206" s="387" t="n">
        <f aca="false">K205-I206-L206-M206</f>
        <v>0</v>
      </c>
      <c r="L206" s="388"/>
      <c r="M206" s="389"/>
      <c r="N206" s="409"/>
      <c r="O206" s="409"/>
      <c r="P206" s="391" t="n">
        <f aca="false">IF(ISBLANK(L205),VALUE(P205),ROW(L205))</f>
        <v>10</v>
      </c>
      <c r="Q206" s="314" t="n">
        <f aca="false">Q205+P205-P206</f>
        <v>12</v>
      </c>
      <c r="R206" s="314" t="n">
        <f aca="false">INDEX(G:G,P206,1)</f>
        <v>69000</v>
      </c>
      <c r="S206" s="312"/>
    </row>
    <row r="207" s="379" customFormat="true" ht="14.9" hidden="false" customHeight="false" outlineLevel="0" collapsed="false">
      <c r="A207" s="380" t="n">
        <v>197</v>
      </c>
      <c r="B207" s="381" t="str">
        <f aca="false">CONCATENATE(INT((A207-1)/12)+1,"-й год ",A207-1-INT((A207-1)/12)*12+1,"-й мес")</f>
        <v>17-й год 5-й мес</v>
      </c>
      <c r="C207" s="382" t="n">
        <f aca="false">DATE(YEAR(C206),MONTH(C206)+1,DAY(C206))</f>
        <v>49857</v>
      </c>
      <c r="D207" s="383" t="n">
        <f aca="false">IFERROR(IF(R207*$D$4/100/12/(1-(1+$D$4/100/12)^(-Q207))&lt;G206,ROUNDUP(R207*$D$4/100/12/(1-(1+$D$4/100/12)^(-Q207)),0),G206+F207),0)</f>
        <v>0</v>
      </c>
      <c r="E207" s="384" t="n">
        <f aca="false">D207-F207</f>
        <v>0</v>
      </c>
      <c r="F207" s="384" t="n">
        <f aca="false">G206*$D$4*(C207-C206)/(DATE(YEAR(C207)+1,1,1)-DATE(YEAR(C207),1,1))/100</f>
        <v>0</v>
      </c>
      <c r="G207" s="385" t="n">
        <f aca="false">G206-E207-L207-M207</f>
        <v>0</v>
      </c>
      <c r="H207" s="386" t="n">
        <f aca="false">IFERROR(I207+J207,0)</f>
        <v>0</v>
      </c>
      <c r="I207" s="384" t="n">
        <f aca="false">IFERROR(IF($D$3/$D$5&lt;K206,$D$3/$D$5,K206),0)</f>
        <v>0</v>
      </c>
      <c r="J207" s="384" t="n">
        <f aca="false">K206*$D$4/12/100</f>
        <v>0</v>
      </c>
      <c r="K207" s="387" t="n">
        <f aca="false">K206-I207-L207-M207</f>
        <v>0</v>
      </c>
      <c r="L207" s="388"/>
      <c r="M207" s="389"/>
      <c r="N207" s="409"/>
      <c r="O207" s="409"/>
      <c r="P207" s="391" t="n">
        <f aca="false">IF(ISBLANK(L206),VALUE(P206),ROW(L206))</f>
        <v>10</v>
      </c>
      <c r="Q207" s="314" t="n">
        <f aca="false">Q206+P206-P207</f>
        <v>12</v>
      </c>
      <c r="R207" s="314" t="n">
        <f aca="false">INDEX(G:G,P207,1)</f>
        <v>69000</v>
      </c>
      <c r="S207" s="312"/>
    </row>
    <row r="208" s="379" customFormat="true" ht="14.9" hidden="false" customHeight="false" outlineLevel="0" collapsed="false">
      <c r="A208" s="380" t="n">
        <v>198</v>
      </c>
      <c r="B208" s="381" t="str">
        <f aca="false">CONCATENATE(INT((A208-1)/12)+1,"-й год ",A208-1-INT((A208-1)/12)*12+1,"-й мес")</f>
        <v>17-й год 6-й мес</v>
      </c>
      <c r="C208" s="382" t="n">
        <f aca="false">DATE(YEAR(C207),MONTH(C207)+1,DAY(C207))</f>
        <v>49888</v>
      </c>
      <c r="D208" s="383" t="n">
        <f aca="false">IFERROR(IF(R208*$D$4/100/12/(1-(1+$D$4/100/12)^(-Q208))&lt;G207,ROUNDUP(R208*$D$4/100/12/(1-(1+$D$4/100/12)^(-Q208)),0),G207+F208),0)</f>
        <v>0</v>
      </c>
      <c r="E208" s="384" t="n">
        <f aca="false">D208-F208</f>
        <v>0</v>
      </c>
      <c r="F208" s="384" t="n">
        <f aca="false">G207*$D$4*(C208-C207)/(DATE(YEAR(C208)+1,1,1)-DATE(YEAR(C208),1,1))/100</f>
        <v>0</v>
      </c>
      <c r="G208" s="385" t="n">
        <f aca="false">G207-E208-L208-M208</f>
        <v>0</v>
      </c>
      <c r="H208" s="386" t="n">
        <f aca="false">IFERROR(I208+J208,0)</f>
        <v>0</v>
      </c>
      <c r="I208" s="384" t="n">
        <f aca="false">IFERROR(IF($D$3/$D$5&lt;K207,$D$3/$D$5,K207),0)</f>
        <v>0</v>
      </c>
      <c r="J208" s="384" t="n">
        <f aca="false">K207*$D$4/12/100</f>
        <v>0</v>
      </c>
      <c r="K208" s="387" t="n">
        <f aca="false">K207-I208-L208-M208</f>
        <v>0</v>
      </c>
      <c r="L208" s="388"/>
      <c r="M208" s="389"/>
      <c r="N208" s="409"/>
      <c r="O208" s="409"/>
      <c r="P208" s="391" t="n">
        <f aca="false">IF(ISBLANK(L207),VALUE(P207),ROW(L207))</f>
        <v>10</v>
      </c>
      <c r="Q208" s="314" t="n">
        <f aca="false">Q207+P207-P208</f>
        <v>12</v>
      </c>
      <c r="R208" s="314" t="n">
        <f aca="false">INDEX(G:G,P208,1)</f>
        <v>69000</v>
      </c>
      <c r="S208" s="312"/>
    </row>
    <row r="209" s="379" customFormat="true" ht="14.9" hidden="false" customHeight="false" outlineLevel="0" collapsed="false">
      <c r="A209" s="380" t="n">
        <v>199</v>
      </c>
      <c r="B209" s="381" t="str">
        <f aca="false">CONCATENATE(INT((A209-1)/12)+1,"-й год ",A209-1-INT((A209-1)/12)*12+1,"-й мес")</f>
        <v>17-й год 7-й мес</v>
      </c>
      <c r="C209" s="382" t="n">
        <f aca="false">DATE(YEAR(C208),MONTH(C208)+1,DAY(C208))</f>
        <v>49919</v>
      </c>
      <c r="D209" s="383" t="n">
        <f aca="false">IFERROR(IF(R209*$D$4/100/12/(1-(1+$D$4/100/12)^(-Q209))&lt;G208,ROUNDUP(R209*$D$4/100/12/(1-(1+$D$4/100/12)^(-Q209)),0),G208+F209),0)</f>
        <v>0</v>
      </c>
      <c r="E209" s="384" t="n">
        <f aca="false">D209-F209</f>
        <v>0</v>
      </c>
      <c r="F209" s="384" t="n">
        <f aca="false">G208*$D$4*(C209-C208)/(DATE(YEAR(C209)+1,1,1)-DATE(YEAR(C209),1,1))/100</f>
        <v>0</v>
      </c>
      <c r="G209" s="385" t="n">
        <f aca="false">G208-E209-L209-M209</f>
        <v>0</v>
      </c>
      <c r="H209" s="386" t="n">
        <f aca="false">IFERROR(I209+J209,0)</f>
        <v>0</v>
      </c>
      <c r="I209" s="384" t="n">
        <f aca="false">IFERROR(IF($D$3/$D$5&lt;K208,$D$3/$D$5,K208),0)</f>
        <v>0</v>
      </c>
      <c r="J209" s="384" t="n">
        <f aca="false">K208*$D$4/12/100</f>
        <v>0</v>
      </c>
      <c r="K209" s="387" t="n">
        <f aca="false">K208-I209-L209-M209</f>
        <v>0</v>
      </c>
      <c r="L209" s="388"/>
      <c r="M209" s="389"/>
      <c r="N209" s="409"/>
      <c r="O209" s="409"/>
      <c r="P209" s="391" t="n">
        <f aca="false">IF(ISBLANK(L208),VALUE(P208),ROW(L208))</f>
        <v>10</v>
      </c>
      <c r="Q209" s="314" t="n">
        <f aca="false">Q208+P208-P209</f>
        <v>12</v>
      </c>
      <c r="R209" s="314" t="n">
        <f aca="false">INDEX(G:G,P209,1)</f>
        <v>69000</v>
      </c>
      <c r="S209" s="312"/>
    </row>
    <row r="210" s="379" customFormat="true" ht="14.9" hidden="false" customHeight="false" outlineLevel="0" collapsed="false">
      <c r="A210" s="380" t="n">
        <v>200</v>
      </c>
      <c r="B210" s="381" t="str">
        <f aca="false">CONCATENATE(INT((A210-1)/12)+1,"-й год ",A210-1-INT((A210-1)/12)*12+1,"-й мес")</f>
        <v>17-й год 8-й мес</v>
      </c>
      <c r="C210" s="382" t="n">
        <f aca="false">DATE(YEAR(C209),MONTH(C209)+1,DAY(C209))</f>
        <v>49949</v>
      </c>
      <c r="D210" s="383" t="n">
        <f aca="false">IFERROR(IF(R210*$D$4/100/12/(1-(1+$D$4/100/12)^(-Q210))&lt;G209,ROUNDUP(R210*$D$4/100/12/(1-(1+$D$4/100/12)^(-Q210)),0),G209+F210),0)</f>
        <v>0</v>
      </c>
      <c r="E210" s="384" t="n">
        <f aca="false">D210-F210</f>
        <v>0</v>
      </c>
      <c r="F210" s="384" t="n">
        <f aca="false">G209*$D$4*(C210-C209)/(DATE(YEAR(C210)+1,1,1)-DATE(YEAR(C210),1,1))/100</f>
        <v>0</v>
      </c>
      <c r="G210" s="385" t="n">
        <f aca="false">G209-E210-L210-M210</f>
        <v>0</v>
      </c>
      <c r="H210" s="386" t="n">
        <f aca="false">IFERROR(I210+J210,0)</f>
        <v>0</v>
      </c>
      <c r="I210" s="384" t="n">
        <f aca="false">IFERROR(IF($D$3/$D$5&lt;K209,$D$3/$D$5,K209),0)</f>
        <v>0</v>
      </c>
      <c r="J210" s="384" t="n">
        <f aca="false">K209*$D$4/12/100</f>
        <v>0</v>
      </c>
      <c r="K210" s="387" t="n">
        <f aca="false">K209-I210-L210-M210</f>
        <v>0</v>
      </c>
      <c r="L210" s="388"/>
      <c r="M210" s="389"/>
      <c r="N210" s="409"/>
      <c r="O210" s="409"/>
      <c r="P210" s="391" t="n">
        <f aca="false">IF(ISBLANK(L209),VALUE(P209),ROW(L209))</f>
        <v>10</v>
      </c>
      <c r="Q210" s="314" t="n">
        <f aca="false">Q209+P209-P210</f>
        <v>12</v>
      </c>
      <c r="R210" s="314" t="n">
        <f aca="false">INDEX(G:G,P210,1)</f>
        <v>69000</v>
      </c>
      <c r="S210" s="312"/>
    </row>
    <row r="211" s="379" customFormat="true" ht="14.9" hidden="false" customHeight="false" outlineLevel="0" collapsed="false">
      <c r="A211" s="380" t="n">
        <v>201</v>
      </c>
      <c r="B211" s="381" t="str">
        <f aca="false">CONCATENATE(INT((A211-1)/12)+1,"-й год ",A211-1-INT((A211-1)/12)*12+1,"-й мес")</f>
        <v>17-й год 9-й мес</v>
      </c>
      <c r="C211" s="382" t="n">
        <f aca="false">DATE(YEAR(C210),MONTH(C210)+1,DAY(C210))</f>
        <v>49980</v>
      </c>
      <c r="D211" s="383" t="n">
        <f aca="false">IFERROR(IF(R211*$D$4/100/12/(1-(1+$D$4/100/12)^(-Q211))&lt;G210,ROUNDUP(R211*$D$4/100/12/(1-(1+$D$4/100/12)^(-Q211)),0),G210+F211),0)</f>
        <v>0</v>
      </c>
      <c r="E211" s="384" t="n">
        <f aca="false">D211-F211</f>
        <v>0</v>
      </c>
      <c r="F211" s="384" t="n">
        <f aca="false">G210*$D$4*(C211-C210)/(DATE(YEAR(C211)+1,1,1)-DATE(YEAR(C211),1,1))/100</f>
        <v>0</v>
      </c>
      <c r="G211" s="385" t="n">
        <f aca="false">G210-E211-L211-M211</f>
        <v>0</v>
      </c>
      <c r="H211" s="386" t="n">
        <f aca="false">IFERROR(I211+J211,0)</f>
        <v>0</v>
      </c>
      <c r="I211" s="384" t="n">
        <f aca="false">IFERROR(IF($D$3/$D$5&lt;K210,$D$3/$D$5,K210),0)</f>
        <v>0</v>
      </c>
      <c r="J211" s="384" t="n">
        <f aca="false">K210*$D$4/12/100</f>
        <v>0</v>
      </c>
      <c r="K211" s="387" t="n">
        <f aca="false">K210-I211-L211-M211</f>
        <v>0</v>
      </c>
      <c r="L211" s="388"/>
      <c r="M211" s="389"/>
      <c r="N211" s="409"/>
      <c r="O211" s="409"/>
      <c r="P211" s="391" t="n">
        <f aca="false">IF(ISBLANK(L210),VALUE(P210),ROW(L210))</f>
        <v>10</v>
      </c>
      <c r="Q211" s="314" t="n">
        <f aca="false">Q210+P210-P211</f>
        <v>12</v>
      </c>
      <c r="R211" s="314" t="n">
        <f aca="false">INDEX(G:G,P211,1)</f>
        <v>69000</v>
      </c>
      <c r="S211" s="312"/>
    </row>
    <row r="212" s="379" customFormat="true" ht="14.9" hidden="false" customHeight="false" outlineLevel="0" collapsed="false">
      <c r="A212" s="380" t="n">
        <v>202</v>
      </c>
      <c r="B212" s="381" t="str">
        <f aca="false">CONCATENATE(INT((A212-1)/12)+1,"-й год ",A212-1-INT((A212-1)/12)*12+1,"-й мес")</f>
        <v>17-й год 10-й мес</v>
      </c>
      <c r="C212" s="382" t="n">
        <f aca="false">DATE(YEAR(C211),MONTH(C211)+1,DAY(C211))</f>
        <v>50010</v>
      </c>
      <c r="D212" s="383" t="n">
        <f aca="false">IFERROR(IF(R212*$D$4/100/12/(1-(1+$D$4/100/12)^(-Q212))&lt;G211,ROUNDUP(R212*$D$4/100/12/(1-(1+$D$4/100/12)^(-Q212)),0),G211+F212),0)</f>
        <v>0</v>
      </c>
      <c r="E212" s="384" t="n">
        <f aca="false">D212-F212</f>
        <v>0</v>
      </c>
      <c r="F212" s="384" t="n">
        <f aca="false">G211*$D$4*(C212-C211)/(DATE(YEAR(C212)+1,1,1)-DATE(YEAR(C212),1,1))/100</f>
        <v>0</v>
      </c>
      <c r="G212" s="385" t="n">
        <f aca="false">G211-E212-L212-M212</f>
        <v>0</v>
      </c>
      <c r="H212" s="386" t="n">
        <f aca="false">IFERROR(I212+J212,0)</f>
        <v>0</v>
      </c>
      <c r="I212" s="384" t="n">
        <f aca="false">IFERROR(IF($D$3/$D$5&lt;K211,$D$3/$D$5,K211),0)</f>
        <v>0</v>
      </c>
      <c r="J212" s="384" t="n">
        <f aca="false">K211*$D$4/12/100</f>
        <v>0</v>
      </c>
      <c r="K212" s="387" t="n">
        <f aca="false">K211-I212-L212-M212</f>
        <v>0</v>
      </c>
      <c r="L212" s="388"/>
      <c r="M212" s="389"/>
      <c r="N212" s="409"/>
      <c r="O212" s="409"/>
      <c r="P212" s="391" t="n">
        <f aca="false">IF(ISBLANK(L211),VALUE(P211),ROW(L211))</f>
        <v>10</v>
      </c>
      <c r="Q212" s="314" t="n">
        <f aca="false">Q211+P211-P212</f>
        <v>12</v>
      </c>
      <c r="R212" s="314" t="n">
        <f aca="false">INDEX(G:G,P212,1)</f>
        <v>69000</v>
      </c>
      <c r="S212" s="312"/>
    </row>
    <row r="213" s="379" customFormat="true" ht="14.9" hidden="false" customHeight="false" outlineLevel="0" collapsed="false">
      <c r="A213" s="380" t="n">
        <v>203</v>
      </c>
      <c r="B213" s="381" t="str">
        <f aca="false">CONCATENATE(INT((A213-1)/12)+1,"-й год ",A213-1-INT((A213-1)/12)*12+1,"-й мес")</f>
        <v>17-й год 11-й мес</v>
      </c>
      <c r="C213" s="382" t="n">
        <f aca="false">DATE(YEAR(C212),MONTH(C212)+1,DAY(C212))</f>
        <v>50041</v>
      </c>
      <c r="D213" s="383" t="n">
        <f aca="false">IFERROR(IF(R213*$D$4/100/12/(1-(1+$D$4/100/12)^(-Q213))&lt;G212,ROUNDUP(R213*$D$4/100/12/(1-(1+$D$4/100/12)^(-Q213)),0),G212+F213),0)</f>
        <v>0</v>
      </c>
      <c r="E213" s="384" t="n">
        <f aca="false">D213-F213</f>
        <v>0</v>
      </c>
      <c r="F213" s="384" t="n">
        <f aca="false">G212*$D$4*(C213-C212)/(DATE(YEAR(C213)+1,1,1)-DATE(YEAR(C213),1,1))/100</f>
        <v>0</v>
      </c>
      <c r="G213" s="385" t="n">
        <f aca="false">G212-E213-L213-M213</f>
        <v>0</v>
      </c>
      <c r="H213" s="386" t="n">
        <f aca="false">IFERROR(I213+J213,0)</f>
        <v>0</v>
      </c>
      <c r="I213" s="384" t="n">
        <f aca="false">IFERROR(IF($D$3/$D$5&lt;K212,$D$3/$D$5,K212),0)</f>
        <v>0</v>
      </c>
      <c r="J213" s="384" t="n">
        <f aca="false">K212*$D$4/12/100</f>
        <v>0</v>
      </c>
      <c r="K213" s="387" t="n">
        <f aca="false">K212-I213-L213-M213</f>
        <v>0</v>
      </c>
      <c r="L213" s="388"/>
      <c r="M213" s="389"/>
      <c r="N213" s="409"/>
      <c r="O213" s="409"/>
      <c r="P213" s="391" t="n">
        <f aca="false">IF(ISBLANK(L212),VALUE(P212),ROW(L212))</f>
        <v>10</v>
      </c>
      <c r="Q213" s="314" t="n">
        <f aca="false">Q212+P212-P213</f>
        <v>12</v>
      </c>
      <c r="R213" s="314" t="n">
        <f aca="false">INDEX(G:G,P213,1)</f>
        <v>69000</v>
      </c>
      <c r="S213" s="312"/>
    </row>
    <row r="214" s="379" customFormat="true" ht="14.9" hidden="false" customHeight="false" outlineLevel="0" collapsed="false">
      <c r="A214" s="380" t="n">
        <v>204</v>
      </c>
      <c r="B214" s="392" t="str">
        <f aca="false">CONCATENATE(INT((A214-1)/12)+1,"-й год ",A214-1-INT((A214-1)/12)*12+1,"-й мес")</f>
        <v>17-й год 12-й мес</v>
      </c>
      <c r="C214" s="393" t="n">
        <f aca="false">DATE(YEAR(C213),MONTH(C213)+1,DAY(C213))</f>
        <v>50072</v>
      </c>
      <c r="D214" s="394" t="n">
        <f aca="false">IFERROR(IF(R214*$D$4/100/12/(1-(1+$D$4/100/12)^(-Q214))&lt;G213,ROUNDUP(R214*$D$4/100/12/(1-(1+$D$4/100/12)^(-Q214)),0),G213+F214),0)</f>
        <v>0</v>
      </c>
      <c r="E214" s="395" t="n">
        <f aca="false">D214-F214</f>
        <v>0</v>
      </c>
      <c r="F214" s="395" t="n">
        <f aca="false">G213*$D$4*(C214-C213)/(DATE(YEAR(C214)+1,1,1)-DATE(YEAR(C214),1,1))/100</f>
        <v>0</v>
      </c>
      <c r="G214" s="385" t="n">
        <f aca="false">G213-E214-L214-M214</f>
        <v>0</v>
      </c>
      <c r="H214" s="386" t="n">
        <f aca="false">IFERROR(I214+J214,0)</f>
        <v>0</v>
      </c>
      <c r="I214" s="384" t="n">
        <f aca="false">IFERROR(IF($D$3/$D$5&lt;K213,$D$3/$D$5,K213),0)</f>
        <v>0</v>
      </c>
      <c r="J214" s="384" t="n">
        <f aca="false">K213*$D$4/12/100</f>
        <v>0</v>
      </c>
      <c r="K214" s="387" t="n">
        <f aca="false">K213-I214-L214-M214</f>
        <v>0</v>
      </c>
      <c r="L214" s="388"/>
      <c r="M214" s="389"/>
      <c r="N214" s="409"/>
      <c r="O214" s="409"/>
      <c r="P214" s="391" t="n">
        <f aca="false">IF(ISBLANK(L213),VALUE(P213),ROW(L213))</f>
        <v>10</v>
      </c>
      <c r="Q214" s="314" t="n">
        <f aca="false">Q213+P213-P214</f>
        <v>12</v>
      </c>
      <c r="R214" s="314" t="n">
        <f aca="false">INDEX(G:G,P214,1)</f>
        <v>69000</v>
      </c>
      <c r="S214" s="312"/>
    </row>
    <row r="215" s="379" customFormat="true" ht="14.9" hidden="false" customHeight="false" outlineLevel="0" collapsed="false">
      <c r="A215" s="396" t="n">
        <v>205</v>
      </c>
      <c r="B215" s="381" t="str">
        <f aca="false">CONCATENATE(INT((A215-1)/12)+1,"-й год ",A215-1-INT((A215-1)/12)*12+1,"-й мес")</f>
        <v>18-й год 1-й мес</v>
      </c>
      <c r="C215" s="382" t="n">
        <f aca="false">DATE(YEAR(C214),MONTH(C214)+1,DAY(C214))</f>
        <v>50100</v>
      </c>
      <c r="D215" s="383" t="n">
        <f aca="false">IFERROR(IF(R215*$D$4/100/12/(1-(1+$D$4/100/12)^(-Q215))&lt;G214,ROUNDUP(R215*$D$4/100/12/(1-(1+$D$4/100/12)^(-Q215)),0),G214+F215),0)</f>
        <v>0</v>
      </c>
      <c r="E215" s="384" t="n">
        <f aca="false">D215-F215</f>
        <v>0</v>
      </c>
      <c r="F215" s="384" t="n">
        <f aca="false">G214*$D$4*(C215-C214)/(DATE(YEAR(C215)+1,1,1)-DATE(YEAR(C215),1,1))/100</f>
        <v>0</v>
      </c>
      <c r="G215" s="397" t="n">
        <f aca="false">G214-E215-L215-M215</f>
        <v>0</v>
      </c>
      <c r="H215" s="398" t="n">
        <f aca="false">IFERROR(I215+J215,0)</f>
        <v>0</v>
      </c>
      <c r="I215" s="399" t="n">
        <f aca="false">IFERROR(IF($D$3/$D$5&lt;K214,$D$3/$D$5,K214),0)</f>
        <v>0</v>
      </c>
      <c r="J215" s="399" t="n">
        <f aca="false">K214*$D$4/12/100</f>
        <v>0</v>
      </c>
      <c r="K215" s="400" t="n">
        <f aca="false">K214-I215-L215-M215</f>
        <v>0</v>
      </c>
      <c r="L215" s="401"/>
      <c r="M215" s="402"/>
      <c r="N215" s="409"/>
      <c r="O215" s="409"/>
      <c r="P215" s="391" t="n">
        <f aca="false">IF(ISBLANK(L214),VALUE(P214),ROW(L214))</f>
        <v>10</v>
      </c>
      <c r="Q215" s="314" t="n">
        <f aca="false">Q214+P214-P215</f>
        <v>12</v>
      </c>
      <c r="R215" s="314" t="n">
        <f aca="false">INDEX(G:G,P215,1)</f>
        <v>69000</v>
      </c>
      <c r="S215" s="312"/>
    </row>
    <row r="216" s="379" customFormat="true" ht="14.9" hidden="false" customHeight="false" outlineLevel="0" collapsed="false">
      <c r="A216" s="403" t="n">
        <v>206</v>
      </c>
      <c r="B216" s="381" t="str">
        <f aca="false">CONCATENATE(INT((A216-1)/12)+1,"-й год ",A216-1-INT((A216-1)/12)*12+1,"-й мес")</f>
        <v>18-й год 2-й мес</v>
      </c>
      <c r="C216" s="382" t="n">
        <f aca="false">DATE(YEAR(C215),MONTH(C215)+1,DAY(C215))</f>
        <v>50131</v>
      </c>
      <c r="D216" s="383" t="n">
        <f aca="false">IFERROR(IF(R216*$D$4/100/12/(1-(1+$D$4/100/12)^(-Q216))&lt;G215,ROUNDUP(R216*$D$4/100/12/(1-(1+$D$4/100/12)^(-Q216)),0),G215+F216),0)</f>
        <v>0</v>
      </c>
      <c r="E216" s="384" t="n">
        <f aca="false">D216-F216</f>
        <v>0</v>
      </c>
      <c r="F216" s="384" t="n">
        <f aca="false">G215*$D$4*(C216-C215)/(DATE(YEAR(C216)+1,1,1)-DATE(YEAR(C216),1,1))/100</f>
        <v>0</v>
      </c>
      <c r="G216" s="385" t="n">
        <f aca="false">G215-E216-L216-M216</f>
        <v>0</v>
      </c>
      <c r="H216" s="386" t="n">
        <f aca="false">IFERROR(I216+J216,0)</f>
        <v>0</v>
      </c>
      <c r="I216" s="384" t="n">
        <f aca="false">IFERROR(IF($D$3/$D$5&lt;K215,$D$3/$D$5,K215),0)</f>
        <v>0</v>
      </c>
      <c r="J216" s="384" t="n">
        <f aca="false">K215*$D$4/12/100</f>
        <v>0</v>
      </c>
      <c r="K216" s="387" t="n">
        <f aca="false">K215-I216-L216-M216</f>
        <v>0</v>
      </c>
      <c r="L216" s="388"/>
      <c r="M216" s="389"/>
      <c r="N216" s="409"/>
      <c r="O216" s="409"/>
      <c r="P216" s="391" t="n">
        <f aca="false">IF(ISBLANK(L215),VALUE(P215),ROW(L215))</f>
        <v>10</v>
      </c>
      <c r="Q216" s="314" t="n">
        <f aca="false">Q215+P215-P216</f>
        <v>12</v>
      </c>
      <c r="R216" s="314" t="n">
        <f aca="false">INDEX(G:G,P216,1)</f>
        <v>69000</v>
      </c>
      <c r="S216" s="312"/>
    </row>
    <row r="217" s="379" customFormat="true" ht="14.9" hidden="false" customHeight="false" outlineLevel="0" collapsed="false">
      <c r="A217" s="403" t="n">
        <v>207</v>
      </c>
      <c r="B217" s="381" t="str">
        <f aca="false">CONCATENATE(INT((A217-1)/12)+1,"-й год ",A217-1-INT((A217-1)/12)*12+1,"-й мес")</f>
        <v>18-й год 3-й мес</v>
      </c>
      <c r="C217" s="382" t="n">
        <f aca="false">DATE(YEAR(C216),MONTH(C216)+1,DAY(C216))</f>
        <v>50161</v>
      </c>
      <c r="D217" s="383" t="n">
        <f aca="false">IFERROR(IF(R217*$D$4/100/12/(1-(1+$D$4/100/12)^(-Q217))&lt;G216,ROUNDUP(R217*$D$4/100/12/(1-(1+$D$4/100/12)^(-Q217)),0),G216+F217),0)</f>
        <v>0</v>
      </c>
      <c r="E217" s="384" t="n">
        <f aca="false">D217-F217</f>
        <v>0</v>
      </c>
      <c r="F217" s="384" t="n">
        <f aca="false">G216*$D$4*(C217-C216)/(DATE(YEAR(C217)+1,1,1)-DATE(YEAR(C217),1,1))/100</f>
        <v>0</v>
      </c>
      <c r="G217" s="385" t="n">
        <f aca="false">G216-E217-L217-M217</f>
        <v>0</v>
      </c>
      <c r="H217" s="386" t="n">
        <f aca="false">IFERROR(I217+J217,0)</f>
        <v>0</v>
      </c>
      <c r="I217" s="384" t="n">
        <f aca="false">IFERROR(IF($D$3/$D$5&lt;K216,$D$3/$D$5,K216),0)</f>
        <v>0</v>
      </c>
      <c r="J217" s="384" t="n">
        <f aca="false">K216*$D$4/12/100</f>
        <v>0</v>
      </c>
      <c r="K217" s="387" t="n">
        <f aca="false">K216-I217-L217-M217</f>
        <v>0</v>
      </c>
      <c r="L217" s="388"/>
      <c r="M217" s="389"/>
      <c r="N217" s="409"/>
      <c r="O217" s="409"/>
      <c r="P217" s="391" t="n">
        <f aca="false">IF(ISBLANK(L216),VALUE(P216),ROW(L216))</f>
        <v>10</v>
      </c>
      <c r="Q217" s="314" t="n">
        <f aca="false">Q216+P216-P217</f>
        <v>12</v>
      </c>
      <c r="R217" s="314" t="n">
        <f aca="false">INDEX(G:G,P217,1)</f>
        <v>69000</v>
      </c>
      <c r="S217" s="312"/>
    </row>
    <row r="218" s="379" customFormat="true" ht="14.9" hidden="false" customHeight="false" outlineLevel="0" collapsed="false">
      <c r="A218" s="403" t="n">
        <v>208</v>
      </c>
      <c r="B218" s="381" t="str">
        <f aca="false">CONCATENATE(INT((A218-1)/12)+1,"-й год ",A218-1-INT((A218-1)/12)*12+1,"-й мес")</f>
        <v>18-й год 4-й мес</v>
      </c>
      <c r="C218" s="382" t="n">
        <f aca="false">DATE(YEAR(C217),MONTH(C217)+1,DAY(C217))</f>
        <v>50192</v>
      </c>
      <c r="D218" s="383" t="n">
        <f aca="false">IFERROR(IF(R218*$D$4/100/12/(1-(1+$D$4/100/12)^(-Q218))&lt;G217,ROUNDUP(R218*$D$4/100/12/(1-(1+$D$4/100/12)^(-Q218)),0),G217+F218),0)</f>
        <v>0</v>
      </c>
      <c r="E218" s="384" t="n">
        <f aca="false">D218-F218</f>
        <v>0</v>
      </c>
      <c r="F218" s="384" t="n">
        <f aca="false">G217*$D$4*(C218-C217)/(DATE(YEAR(C218)+1,1,1)-DATE(YEAR(C218),1,1))/100</f>
        <v>0</v>
      </c>
      <c r="G218" s="385" t="n">
        <f aca="false">G217-E218-L218-M218</f>
        <v>0</v>
      </c>
      <c r="H218" s="386" t="n">
        <f aca="false">IFERROR(I218+J218,0)</f>
        <v>0</v>
      </c>
      <c r="I218" s="384" t="n">
        <f aca="false">IFERROR(IF($D$3/$D$5&lt;K217,$D$3/$D$5,K217),0)</f>
        <v>0</v>
      </c>
      <c r="J218" s="384" t="n">
        <f aca="false">K217*$D$4/12/100</f>
        <v>0</v>
      </c>
      <c r="K218" s="387" t="n">
        <f aca="false">K217-I218-L218-M218</f>
        <v>0</v>
      </c>
      <c r="L218" s="388"/>
      <c r="M218" s="389"/>
      <c r="N218" s="409"/>
      <c r="O218" s="409"/>
      <c r="P218" s="391" t="n">
        <f aca="false">IF(ISBLANK(L217),VALUE(P217),ROW(L217))</f>
        <v>10</v>
      </c>
      <c r="Q218" s="314" t="n">
        <f aca="false">Q217+P217-P218</f>
        <v>12</v>
      </c>
      <c r="R218" s="314" t="n">
        <f aca="false">INDEX(G:G,P218,1)</f>
        <v>69000</v>
      </c>
      <c r="S218" s="312"/>
    </row>
    <row r="219" s="379" customFormat="true" ht="14.9" hidden="false" customHeight="false" outlineLevel="0" collapsed="false">
      <c r="A219" s="403" t="n">
        <v>209</v>
      </c>
      <c r="B219" s="381" t="str">
        <f aca="false">CONCATENATE(INT((A219-1)/12)+1,"-й год ",A219-1-INT((A219-1)/12)*12+1,"-й мес")</f>
        <v>18-й год 5-й мес</v>
      </c>
      <c r="C219" s="382" t="n">
        <f aca="false">DATE(YEAR(C218),MONTH(C218)+1,DAY(C218))</f>
        <v>50222</v>
      </c>
      <c r="D219" s="383" t="n">
        <f aca="false">IFERROR(IF(R219*$D$4/100/12/(1-(1+$D$4/100/12)^(-Q219))&lt;G218,ROUNDUP(R219*$D$4/100/12/(1-(1+$D$4/100/12)^(-Q219)),0),G218+F219),0)</f>
        <v>0</v>
      </c>
      <c r="E219" s="384" t="n">
        <f aca="false">D219-F219</f>
        <v>0</v>
      </c>
      <c r="F219" s="384" t="n">
        <f aca="false">G218*$D$4*(C219-C218)/(DATE(YEAR(C219)+1,1,1)-DATE(YEAR(C219),1,1))/100</f>
        <v>0</v>
      </c>
      <c r="G219" s="385" t="n">
        <f aca="false">G218-E219-L219-M219</f>
        <v>0</v>
      </c>
      <c r="H219" s="386" t="n">
        <f aca="false">IFERROR(I219+J219,0)</f>
        <v>0</v>
      </c>
      <c r="I219" s="384" t="n">
        <f aca="false">IFERROR(IF($D$3/$D$5&lt;K218,$D$3/$D$5,K218),0)</f>
        <v>0</v>
      </c>
      <c r="J219" s="384" t="n">
        <f aca="false">K218*$D$4/12/100</f>
        <v>0</v>
      </c>
      <c r="K219" s="387" t="n">
        <f aca="false">K218-I219-L219-M219</f>
        <v>0</v>
      </c>
      <c r="L219" s="388"/>
      <c r="M219" s="389"/>
      <c r="N219" s="409"/>
      <c r="O219" s="409"/>
      <c r="P219" s="391" t="n">
        <f aca="false">IF(ISBLANK(L218),VALUE(P218),ROW(L218))</f>
        <v>10</v>
      </c>
      <c r="Q219" s="314" t="n">
        <f aca="false">Q218+P218-P219</f>
        <v>12</v>
      </c>
      <c r="R219" s="314" t="n">
        <f aca="false">INDEX(G:G,P219,1)</f>
        <v>69000</v>
      </c>
      <c r="S219" s="312"/>
    </row>
    <row r="220" s="379" customFormat="true" ht="14.9" hidden="false" customHeight="false" outlineLevel="0" collapsed="false">
      <c r="A220" s="403" t="n">
        <v>210</v>
      </c>
      <c r="B220" s="381" t="str">
        <f aca="false">CONCATENATE(INT((A220-1)/12)+1,"-й год ",A220-1-INT((A220-1)/12)*12+1,"-й мес")</f>
        <v>18-й год 6-й мес</v>
      </c>
      <c r="C220" s="382" t="n">
        <f aca="false">DATE(YEAR(C219),MONTH(C219)+1,DAY(C219))</f>
        <v>50253</v>
      </c>
      <c r="D220" s="383" t="n">
        <f aca="false">IFERROR(IF(R220*$D$4/100/12/(1-(1+$D$4/100/12)^(-Q220))&lt;G219,ROUNDUP(R220*$D$4/100/12/(1-(1+$D$4/100/12)^(-Q220)),0),G219+F220),0)</f>
        <v>0</v>
      </c>
      <c r="E220" s="384" t="n">
        <f aca="false">D220-F220</f>
        <v>0</v>
      </c>
      <c r="F220" s="384" t="n">
        <f aca="false">G219*$D$4*(C220-C219)/(DATE(YEAR(C220)+1,1,1)-DATE(YEAR(C220),1,1))/100</f>
        <v>0</v>
      </c>
      <c r="G220" s="385" t="n">
        <f aca="false">G219-E220-L220-M220</f>
        <v>0</v>
      </c>
      <c r="H220" s="386" t="n">
        <f aca="false">IFERROR(I220+J220,0)</f>
        <v>0</v>
      </c>
      <c r="I220" s="384" t="n">
        <f aca="false">IFERROR(IF($D$3/$D$5&lt;K219,$D$3/$D$5,K219),0)</f>
        <v>0</v>
      </c>
      <c r="J220" s="384" t="n">
        <f aca="false">K219*$D$4/12/100</f>
        <v>0</v>
      </c>
      <c r="K220" s="387" t="n">
        <f aca="false">K219-I220-L220-M220</f>
        <v>0</v>
      </c>
      <c r="L220" s="388"/>
      <c r="M220" s="389"/>
      <c r="N220" s="409"/>
      <c r="O220" s="409"/>
      <c r="P220" s="391" t="n">
        <f aca="false">IF(ISBLANK(L219),VALUE(P219),ROW(L219))</f>
        <v>10</v>
      </c>
      <c r="Q220" s="314" t="n">
        <f aca="false">Q219+P219-P220</f>
        <v>12</v>
      </c>
      <c r="R220" s="314" t="n">
        <f aca="false">INDEX(G:G,P220,1)</f>
        <v>69000</v>
      </c>
      <c r="S220" s="312"/>
    </row>
    <row r="221" s="379" customFormat="true" ht="14.9" hidden="false" customHeight="false" outlineLevel="0" collapsed="false">
      <c r="A221" s="403" t="n">
        <v>211</v>
      </c>
      <c r="B221" s="381" t="str">
        <f aca="false">CONCATENATE(INT((A221-1)/12)+1,"-й год ",A221-1-INT((A221-1)/12)*12+1,"-й мес")</f>
        <v>18-й год 7-й мес</v>
      </c>
      <c r="C221" s="382" t="n">
        <f aca="false">DATE(YEAR(C220),MONTH(C220)+1,DAY(C220))</f>
        <v>50284</v>
      </c>
      <c r="D221" s="383" t="n">
        <f aca="false">IFERROR(IF(R221*$D$4/100/12/(1-(1+$D$4/100/12)^(-Q221))&lt;G220,ROUNDUP(R221*$D$4/100/12/(1-(1+$D$4/100/12)^(-Q221)),0),G220+F221),0)</f>
        <v>0</v>
      </c>
      <c r="E221" s="384" t="n">
        <f aca="false">D221-F221</f>
        <v>0</v>
      </c>
      <c r="F221" s="384" t="n">
        <f aca="false">G220*$D$4*(C221-C220)/(DATE(YEAR(C221)+1,1,1)-DATE(YEAR(C221),1,1))/100</f>
        <v>0</v>
      </c>
      <c r="G221" s="385" t="n">
        <f aca="false">G220-E221-L221-M221</f>
        <v>0</v>
      </c>
      <c r="H221" s="386" t="n">
        <f aca="false">IFERROR(I221+J221,0)</f>
        <v>0</v>
      </c>
      <c r="I221" s="384" t="n">
        <f aca="false">IFERROR(IF($D$3/$D$5&lt;K220,$D$3/$D$5,K220),0)</f>
        <v>0</v>
      </c>
      <c r="J221" s="384" t="n">
        <f aca="false">K220*$D$4/12/100</f>
        <v>0</v>
      </c>
      <c r="K221" s="387" t="n">
        <f aca="false">K220-I221-L221-M221</f>
        <v>0</v>
      </c>
      <c r="L221" s="388"/>
      <c r="M221" s="389"/>
      <c r="N221" s="409"/>
      <c r="O221" s="409"/>
      <c r="P221" s="391" t="n">
        <f aca="false">IF(ISBLANK(L220),VALUE(P220),ROW(L220))</f>
        <v>10</v>
      </c>
      <c r="Q221" s="314" t="n">
        <f aca="false">Q220+P220-P221</f>
        <v>12</v>
      </c>
      <c r="R221" s="314" t="n">
        <f aca="false">INDEX(G:G,P221,1)</f>
        <v>69000</v>
      </c>
      <c r="S221" s="312"/>
    </row>
    <row r="222" s="379" customFormat="true" ht="14.9" hidden="false" customHeight="false" outlineLevel="0" collapsed="false">
      <c r="A222" s="403" t="n">
        <v>212</v>
      </c>
      <c r="B222" s="381" t="str">
        <f aca="false">CONCATENATE(INT((A222-1)/12)+1,"-й год ",A222-1-INT((A222-1)/12)*12+1,"-й мес")</f>
        <v>18-й год 8-й мес</v>
      </c>
      <c r="C222" s="382" t="n">
        <f aca="false">DATE(YEAR(C221),MONTH(C221)+1,DAY(C221))</f>
        <v>50314</v>
      </c>
      <c r="D222" s="383" t="n">
        <f aca="false">IFERROR(IF(R222*$D$4/100/12/(1-(1+$D$4/100/12)^(-Q222))&lt;G221,ROUNDUP(R222*$D$4/100/12/(1-(1+$D$4/100/12)^(-Q222)),0),G221+F222),0)</f>
        <v>0</v>
      </c>
      <c r="E222" s="384" t="n">
        <f aca="false">D222-F222</f>
        <v>0</v>
      </c>
      <c r="F222" s="384" t="n">
        <f aca="false">G221*$D$4*(C222-C221)/(DATE(YEAR(C222)+1,1,1)-DATE(YEAR(C222),1,1))/100</f>
        <v>0</v>
      </c>
      <c r="G222" s="385" t="n">
        <f aca="false">G221-E222-L222-M222</f>
        <v>0</v>
      </c>
      <c r="H222" s="386" t="n">
        <f aca="false">IFERROR(I222+J222,0)</f>
        <v>0</v>
      </c>
      <c r="I222" s="384" t="n">
        <f aca="false">IFERROR(IF($D$3/$D$5&lt;K221,$D$3/$D$5,K221),0)</f>
        <v>0</v>
      </c>
      <c r="J222" s="384" t="n">
        <f aca="false">K221*$D$4/12/100</f>
        <v>0</v>
      </c>
      <c r="K222" s="387" t="n">
        <f aca="false">K221-I222-L222-M222</f>
        <v>0</v>
      </c>
      <c r="L222" s="388"/>
      <c r="M222" s="389"/>
      <c r="N222" s="409"/>
      <c r="O222" s="409"/>
      <c r="P222" s="391" t="n">
        <f aca="false">IF(ISBLANK(L221),VALUE(P221),ROW(L221))</f>
        <v>10</v>
      </c>
      <c r="Q222" s="314" t="n">
        <f aca="false">Q221+P221-P222</f>
        <v>12</v>
      </c>
      <c r="R222" s="314" t="n">
        <f aca="false">INDEX(G:G,P222,1)</f>
        <v>69000</v>
      </c>
      <c r="S222" s="312"/>
    </row>
    <row r="223" s="379" customFormat="true" ht="14.9" hidden="false" customHeight="false" outlineLevel="0" collapsed="false">
      <c r="A223" s="403" t="n">
        <v>213</v>
      </c>
      <c r="B223" s="381" t="str">
        <f aca="false">CONCATENATE(INT((A223-1)/12)+1,"-й год ",A223-1-INT((A223-1)/12)*12+1,"-й мес")</f>
        <v>18-й год 9-й мес</v>
      </c>
      <c r="C223" s="382" t="n">
        <f aca="false">DATE(YEAR(C222),MONTH(C222)+1,DAY(C222))</f>
        <v>50345</v>
      </c>
      <c r="D223" s="383" t="n">
        <f aca="false">IFERROR(IF(R223*$D$4/100/12/(1-(1+$D$4/100/12)^(-Q223))&lt;G222,ROUNDUP(R223*$D$4/100/12/(1-(1+$D$4/100/12)^(-Q223)),0),G222+F223),0)</f>
        <v>0</v>
      </c>
      <c r="E223" s="384" t="n">
        <f aca="false">D223-F223</f>
        <v>0</v>
      </c>
      <c r="F223" s="384" t="n">
        <f aca="false">G222*$D$4*(C223-C222)/(DATE(YEAR(C223)+1,1,1)-DATE(YEAR(C223),1,1))/100</f>
        <v>0</v>
      </c>
      <c r="G223" s="385" t="n">
        <f aca="false">G222-E223-L223-M223</f>
        <v>0</v>
      </c>
      <c r="H223" s="386" t="n">
        <f aca="false">IFERROR(I223+J223,0)</f>
        <v>0</v>
      </c>
      <c r="I223" s="384" t="n">
        <f aca="false">IFERROR(IF($D$3/$D$5&lt;K222,$D$3/$D$5,K222),0)</f>
        <v>0</v>
      </c>
      <c r="J223" s="384" t="n">
        <f aca="false">K222*$D$4/12/100</f>
        <v>0</v>
      </c>
      <c r="K223" s="387" t="n">
        <f aca="false">K222-I223-L223-M223</f>
        <v>0</v>
      </c>
      <c r="L223" s="388"/>
      <c r="M223" s="389"/>
      <c r="N223" s="409"/>
      <c r="O223" s="409"/>
      <c r="P223" s="391" t="n">
        <f aca="false">IF(ISBLANK(L222),VALUE(P222),ROW(L222))</f>
        <v>10</v>
      </c>
      <c r="Q223" s="314" t="n">
        <f aca="false">Q222+P222-P223</f>
        <v>12</v>
      </c>
      <c r="R223" s="314" t="n">
        <f aca="false">INDEX(G:G,P223,1)</f>
        <v>69000</v>
      </c>
      <c r="S223" s="312"/>
    </row>
    <row r="224" s="379" customFormat="true" ht="14.9" hidden="false" customHeight="false" outlineLevel="0" collapsed="false">
      <c r="A224" s="403" t="n">
        <v>214</v>
      </c>
      <c r="B224" s="381" t="str">
        <f aca="false">CONCATENATE(INT((A224-1)/12)+1,"-й год ",A224-1-INT((A224-1)/12)*12+1,"-й мес")</f>
        <v>18-й год 10-й мес</v>
      </c>
      <c r="C224" s="382" t="n">
        <f aca="false">DATE(YEAR(C223),MONTH(C223)+1,DAY(C223))</f>
        <v>50375</v>
      </c>
      <c r="D224" s="383" t="n">
        <f aca="false">IFERROR(IF(R224*$D$4/100/12/(1-(1+$D$4/100/12)^(-Q224))&lt;G223,ROUNDUP(R224*$D$4/100/12/(1-(1+$D$4/100/12)^(-Q224)),0),G223+F224),0)</f>
        <v>0</v>
      </c>
      <c r="E224" s="384" t="n">
        <f aca="false">D224-F224</f>
        <v>0</v>
      </c>
      <c r="F224" s="384" t="n">
        <f aca="false">G223*$D$4*(C224-C223)/(DATE(YEAR(C224)+1,1,1)-DATE(YEAR(C224),1,1))/100</f>
        <v>0</v>
      </c>
      <c r="G224" s="385" t="n">
        <f aca="false">G223-E224-L224-M224</f>
        <v>0</v>
      </c>
      <c r="H224" s="386" t="n">
        <f aca="false">IFERROR(I224+J224,0)</f>
        <v>0</v>
      </c>
      <c r="I224" s="384" t="n">
        <f aca="false">IFERROR(IF($D$3/$D$5&lt;K223,$D$3/$D$5,K223),0)</f>
        <v>0</v>
      </c>
      <c r="J224" s="384" t="n">
        <f aca="false">K223*$D$4/12/100</f>
        <v>0</v>
      </c>
      <c r="K224" s="387" t="n">
        <f aca="false">K223-I224-L224-M224</f>
        <v>0</v>
      </c>
      <c r="L224" s="388"/>
      <c r="M224" s="389"/>
      <c r="N224" s="409"/>
      <c r="O224" s="409"/>
      <c r="P224" s="391" t="n">
        <f aca="false">IF(ISBLANK(L223),VALUE(P223),ROW(L223))</f>
        <v>10</v>
      </c>
      <c r="Q224" s="314" t="n">
        <f aca="false">Q223+P223-P224</f>
        <v>12</v>
      </c>
      <c r="R224" s="314" t="n">
        <f aca="false">INDEX(G:G,P224,1)</f>
        <v>69000</v>
      </c>
      <c r="S224" s="312"/>
    </row>
    <row r="225" s="379" customFormat="true" ht="14.9" hidden="false" customHeight="false" outlineLevel="0" collapsed="false">
      <c r="A225" s="403" t="n">
        <v>215</v>
      </c>
      <c r="B225" s="381" t="str">
        <f aca="false">CONCATENATE(INT((A225-1)/12)+1,"-й год ",A225-1-INT((A225-1)/12)*12+1,"-й мес")</f>
        <v>18-й год 11-й мес</v>
      </c>
      <c r="C225" s="382" t="n">
        <f aca="false">DATE(YEAR(C224),MONTH(C224)+1,DAY(C224))</f>
        <v>50406</v>
      </c>
      <c r="D225" s="383" t="n">
        <f aca="false">IFERROR(IF(R225*$D$4/100/12/(1-(1+$D$4/100/12)^(-Q225))&lt;G224,ROUNDUP(R225*$D$4/100/12/(1-(1+$D$4/100/12)^(-Q225)),0),G224+F225),0)</f>
        <v>0</v>
      </c>
      <c r="E225" s="384" t="n">
        <f aca="false">D225-F225</f>
        <v>0</v>
      </c>
      <c r="F225" s="384" t="n">
        <f aca="false">G224*$D$4*(C225-C224)/(DATE(YEAR(C225)+1,1,1)-DATE(YEAR(C225),1,1))/100</f>
        <v>0</v>
      </c>
      <c r="G225" s="385" t="n">
        <f aca="false">G224-E225-L225-M225</f>
        <v>0</v>
      </c>
      <c r="H225" s="386" t="n">
        <f aca="false">IFERROR(I225+J225,0)</f>
        <v>0</v>
      </c>
      <c r="I225" s="384" t="n">
        <f aca="false">IFERROR(IF($D$3/$D$5&lt;K224,$D$3/$D$5,K224),0)</f>
        <v>0</v>
      </c>
      <c r="J225" s="384" t="n">
        <f aca="false">K224*$D$4/12/100</f>
        <v>0</v>
      </c>
      <c r="K225" s="387" t="n">
        <f aca="false">K224-I225-L225-M225</f>
        <v>0</v>
      </c>
      <c r="L225" s="388"/>
      <c r="M225" s="389"/>
      <c r="N225" s="409"/>
      <c r="O225" s="409"/>
      <c r="P225" s="391" t="n">
        <f aca="false">IF(ISBLANK(L224),VALUE(P224),ROW(L224))</f>
        <v>10</v>
      </c>
      <c r="Q225" s="314" t="n">
        <f aca="false">Q224+P224-P225</f>
        <v>12</v>
      </c>
      <c r="R225" s="314" t="n">
        <f aca="false">INDEX(G:G,P225,1)</f>
        <v>69000</v>
      </c>
      <c r="S225" s="312"/>
    </row>
    <row r="226" s="379" customFormat="true" ht="14.9" hidden="false" customHeight="false" outlineLevel="0" collapsed="false">
      <c r="A226" s="404" t="n">
        <v>216</v>
      </c>
      <c r="B226" s="392" t="str">
        <f aca="false">CONCATENATE(INT((A226-1)/12)+1,"-й год ",A226-1-INT((A226-1)/12)*12+1,"-й мес")</f>
        <v>18-й год 12-й мес</v>
      </c>
      <c r="C226" s="393" t="n">
        <f aca="false">DATE(YEAR(C225),MONTH(C225)+1,DAY(C225))</f>
        <v>50437</v>
      </c>
      <c r="D226" s="394" t="n">
        <f aca="false">IFERROR(IF(R226*$D$4/100/12/(1-(1+$D$4/100/12)^(-Q226))&lt;G225,ROUNDUP(R226*$D$4/100/12/(1-(1+$D$4/100/12)^(-Q226)),0),G225+F226),0)</f>
        <v>0</v>
      </c>
      <c r="E226" s="395" t="n">
        <f aca="false">D226-F226</f>
        <v>0</v>
      </c>
      <c r="F226" s="395" t="n">
        <f aca="false">G225*$D$4*(C226-C225)/(DATE(YEAR(C226)+1,1,1)-DATE(YEAR(C226),1,1))/100</f>
        <v>0</v>
      </c>
      <c r="G226" s="405" t="n">
        <f aca="false">G225-E226-L226-M226</f>
        <v>0</v>
      </c>
      <c r="H226" s="406" t="n">
        <f aca="false">IFERROR(I226+J226,0)</f>
        <v>0</v>
      </c>
      <c r="I226" s="395" t="n">
        <f aca="false">IFERROR(IF($D$3/$D$5&lt;K225,$D$3/$D$5,K225),0)</f>
        <v>0</v>
      </c>
      <c r="J226" s="395" t="n">
        <f aca="false">K225*$D$4/12/100</f>
        <v>0</v>
      </c>
      <c r="K226" s="407" t="n">
        <f aca="false">K225-I226-L226-M226</f>
        <v>0</v>
      </c>
      <c r="L226" s="408"/>
      <c r="M226" s="410"/>
      <c r="N226" s="409"/>
      <c r="O226" s="409"/>
      <c r="P226" s="391" t="n">
        <f aca="false">IF(ISBLANK(L225),VALUE(P225),ROW(L225))</f>
        <v>10</v>
      </c>
      <c r="Q226" s="314" t="n">
        <f aca="false">Q225+P225-P226</f>
        <v>12</v>
      </c>
      <c r="R226" s="314" t="n">
        <f aca="false">INDEX(G:G,P226,1)</f>
        <v>69000</v>
      </c>
      <c r="S226" s="312"/>
    </row>
    <row r="227" s="379" customFormat="true" ht="14.9" hidden="false" customHeight="false" outlineLevel="0" collapsed="false">
      <c r="A227" s="380" t="n">
        <v>217</v>
      </c>
      <c r="B227" s="381" t="str">
        <f aca="false">CONCATENATE(INT((A227-1)/12)+1,"-й год ",A227-1-INT((A227-1)/12)*12+1,"-й мес")</f>
        <v>19-й год 1-й мес</v>
      </c>
      <c r="C227" s="382" t="n">
        <f aca="false">DATE(YEAR(C226),MONTH(C226)+1,DAY(C226))</f>
        <v>50465</v>
      </c>
      <c r="D227" s="383" t="n">
        <f aca="false">IFERROR(IF(R227*$D$4/100/12/(1-(1+$D$4/100/12)^(-Q227))&lt;G226,ROUNDUP(R227*$D$4/100/12/(1-(1+$D$4/100/12)^(-Q227)),0),G226+F227),0)</f>
        <v>0</v>
      </c>
      <c r="E227" s="384" t="n">
        <f aca="false">D227-F227</f>
        <v>0</v>
      </c>
      <c r="F227" s="384" t="n">
        <f aca="false">G226*$D$4*(C227-C226)/(DATE(YEAR(C227)+1,1,1)-DATE(YEAR(C227),1,1))/100</f>
        <v>0</v>
      </c>
      <c r="G227" s="385" t="n">
        <f aca="false">G226-E227-L227-M227</f>
        <v>0</v>
      </c>
      <c r="H227" s="386" t="n">
        <f aca="false">IFERROR(I227+J227,0)</f>
        <v>0</v>
      </c>
      <c r="I227" s="384" t="n">
        <f aca="false">IFERROR(IF($D$3/$D$5&lt;K226,$D$3/$D$5,K226),0)</f>
        <v>0</v>
      </c>
      <c r="J227" s="384" t="n">
        <f aca="false">K226*$D$4/12/100</f>
        <v>0</v>
      </c>
      <c r="K227" s="387" t="n">
        <f aca="false">K226-I227-L227-M227</f>
        <v>0</v>
      </c>
      <c r="L227" s="388"/>
      <c r="M227" s="389"/>
      <c r="N227" s="409"/>
      <c r="O227" s="409"/>
      <c r="P227" s="391" t="n">
        <f aca="false">IF(ISBLANK(L226),VALUE(P226),ROW(L226))</f>
        <v>10</v>
      </c>
      <c r="Q227" s="314" t="n">
        <f aca="false">Q226+P226-P227</f>
        <v>12</v>
      </c>
      <c r="R227" s="314" t="n">
        <f aca="false">INDEX(G:G,P227,1)</f>
        <v>69000</v>
      </c>
      <c r="S227" s="312"/>
    </row>
    <row r="228" s="379" customFormat="true" ht="14.9" hidden="false" customHeight="false" outlineLevel="0" collapsed="false">
      <c r="A228" s="380" t="n">
        <v>218</v>
      </c>
      <c r="B228" s="381" t="str">
        <f aca="false">CONCATENATE(INT((A228-1)/12)+1,"-й год ",A228-1-INT((A228-1)/12)*12+1,"-й мес")</f>
        <v>19-й год 2-й мес</v>
      </c>
      <c r="C228" s="382" t="n">
        <f aca="false">DATE(YEAR(C227),MONTH(C227)+1,DAY(C227))</f>
        <v>50496</v>
      </c>
      <c r="D228" s="383" t="n">
        <f aca="false">IFERROR(IF(R228*$D$4/100/12/(1-(1+$D$4/100/12)^(-Q228))&lt;G227,ROUNDUP(R228*$D$4/100/12/(1-(1+$D$4/100/12)^(-Q228)),0),G227+F228),0)</f>
        <v>0</v>
      </c>
      <c r="E228" s="384" t="n">
        <f aca="false">D228-F228</f>
        <v>0</v>
      </c>
      <c r="F228" s="384" t="n">
        <f aca="false">G227*$D$4*(C228-C227)/(DATE(YEAR(C228)+1,1,1)-DATE(YEAR(C228),1,1))/100</f>
        <v>0</v>
      </c>
      <c r="G228" s="385" t="n">
        <f aca="false">G227-E228-L228-M228</f>
        <v>0</v>
      </c>
      <c r="H228" s="386" t="n">
        <f aca="false">IFERROR(I228+J228,0)</f>
        <v>0</v>
      </c>
      <c r="I228" s="384" t="n">
        <f aca="false">IFERROR(IF($D$3/$D$5&lt;K227,$D$3/$D$5,K227),0)</f>
        <v>0</v>
      </c>
      <c r="J228" s="384" t="n">
        <f aca="false">K227*$D$4/12/100</f>
        <v>0</v>
      </c>
      <c r="K228" s="387" t="n">
        <f aca="false">K227-I228-L228-M228</f>
        <v>0</v>
      </c>
      <c r="L228" s="388"/>
      <c r="M228" s="389"/>
      <c r="N228" s="409"/>
      <c r="O228" s="409"/>
      <c r="P228" s="391" t="n">
        <f aca="false">IF(ISBLANK(L227),VALUE(P227),ROW(L227))</f>
        <v>10</v>
      </c>
      <c r="Q228" s="314" t="n">
        <f aca="false">Q227+P227-P228</f>
        <v>12</v>
      </c>
      <c r="R228" s="314" t="n">
        <f aca="false">INDEX(G:G,P228,1)</f>
        <v>69000</v>
      </c>
      <c r="S228" s="312"/>
    </row>
    <row r="229" s="379" customFormat="true" ht="14.9" hidden="false" customHeight="false" outlineLevel="0" collapsed="false">
      <c r="A229" s="380" t="n">
        <v>219</v>
      </c>
      <c r="B229" s="381" t="str">
        <f aca="false">CONCATENATE(INT((A229-1)/12)+1,"-й год ",A229-1-INT((A229-1)/12)*12+1,"-й мес")</f>
        <v>19-й год 3-й мес</v>
      </c>
      <c r="C229" s="382" t="n">
        <f aca="false">DATE(YEAR(C228),MONTH(C228)+1,DAY(C228))</f>
        <v>50526</v>
      </c>
      <c r="D229" s="383" t="n">
        <f aca="false">IFERROR(IF(R229*$D$4/100/12/(1-(1+$D$4/100/12)^(-Q229))&lt;G228,ROUNDUP(R229*$D$4/100/12/(1-(1+$D$4/100/12)^(-Q229)),0),G228+F229),0)</f>
        <v>0</v>
      </c>
      <c r="E229" s="384" t="n">
        <f aca="false">D229-F229</f>
        <v>0</v>
      </c>
      <c r="F229" s="384" t="n">
        <f aca="false">G228*$D$4*(C229-C228)/(DATE(YEAR(C229)+1,1,1)-DATE(YEAR(C229),1,1))/100</f>
        <v>0</v>
      </c>
      <c r="G229" s="385" t="n">
        <f aca="false">G228-E229-L229-M229</f>
        <v>0</v>
      </c>
      <c r="H229" s="386" t="n">
        <f aca="false">IFERROR(I229+J229,0)</f>
        <v>0</v>
      </c>
      <c r="I229" s="384" t="n">
        <f aca="false">IFERROR(IF($D$3/$D$5&lt;K228,$D$3/$D$5,K228),0)</f>
        <v>0</v>
      </c>
      <c r="J229" s="384" t="n">
        <f aca="false">K228*$D$4/12/100</f>
        <v>0</v>
      </c>
      <c r="K229" s="387" t="n">
        <f aca="false">K228-I229-L229-M229</f>
        <v>0</v>
      </c>
      <c r="L229" s="388"/>
      <c r="M229" s="389"/>
      <c r="N229" s="409"/>
      <c r="O229" s="409"/>
      <c r="P229" s="391" t="n">
        <f aca="false">IF(ISBLANK(L228),VALUE(P228),ROW(L228))</f>
        <v>10</v>
      </c>
      <c r="Q229" s="314" t="n">
        <f aca="false">Q228+P228-P229</f>
        <v>12</v>
      </c>
      <c r="R229" s="314" t="n">
        <f aca="false">INDEX(G:G,P229,1)</f>
        <v>69000</v>
      </c>
      <c r="S229" s="312"/>
    </row>
    <row r="230" s="379" customFormat="true" ht="14.9" hidden="false" customHeight="false" outlineLevel="0" collapsed="false">
      <c r="A230" s="380" t="n">
        <v>220</v>
      </c>
      <c r="B230" s="381" t="str">
        <f aca="false">CONCATENATE(INT((A230-1)/12)+1,"-й год ",A230-1-INT((A230-1)/12)*12+1,"-й мес")</f>
        <v>19-й год 4-й мес</v>
      </c>
      <c r="C230" s="382" t="n">
        <f aca="false">DATE(YEAR(C229),MONTH(C229)+1,DAY(C229))</f>
        <v>50557</v>
      </c>
      <c r="D230" s="383" t="n">
        <f aca="false">IFERROR(IF(R230*$D$4/100/12/(1-(1+$D$4/100/12)^(-Q230))&lt;G229,ROUNDUP(R230*$D$4/100/12/(1-(1+$D$4/100/12)^(-Q230)),0),G229+F230),0)</f>
        <v>0</v>
      </c>
      <c r="E230" s="384" t="n">
        <f aca="false">D230-F230</f>
        <v>0</v>
      </c>
      <c r="F230" s="384" t="n">
        <f aca="false">G229*$D$4*(C230-C229)/(DATE(YEAR(C230)+1,1,1)-DATE(YEAR(C230),1,1))/100</f>
        <v>0</v>
      </c>
      <c r="G230" s="385" t="n">
        <f aca="false">G229-E230-L230-M230</f>
        <v>0</v>
      </c>
      <c r="H230" s="386" t="n">
        <f aca="false">IFERROR(I230+J230,0)</f>
        <v>0</v>
      </c>
      <c r="I230" s="384" t="n">
        <f aca="false">IFERROR(IF($D$3/$D$5&lt;K229,$D$3/$D$5,K229),0)</f>
        <v>0</v>
      </c>
      <c r="J230" s="384" t="n">
        <f aca="false">K229*$D$4/12/100</f>
        <v>0</v>
      </c>
      <c r="K230" s="387" t="n">
        <f aca="false">K229-I230-L230-M230</f>
        <v>0</v>
      </c>
      <c r="L230" s="388"/>
      <c r="M230" s="389"/>
      <c r="N230" s="409"/>
      <c r="O230" s="409"/>
      <c r="P230" s="391" t="n">
        <f aca="false">IF(ISBLANK(L229),VALUE(P229),ROW(L229))</f>
        <v>10</v>
      </c>
      <c r="Q230" s="314" t="n">
        <f aca="false">Q229+P229-P230</f>
        <v>12</v>
      </c>
      <c r="R230" s="314" t="n">
        <f aca="false">INDEX(G:G,P230,1)</f>
        <v>69000</v>
      </c>
      <c r="S230" s="312"/>
    </row>
    <row r="231" s="379" customFormat="true" ht="14.9" hidden="false" customHeight="false" outlineLevel="0" collapsed="false">
      <c r="A231" s="380" t="n">
        <v>221</v>
      </c>
      <c r="B231" s="381" t="str">
        <f aca="false">CONCATENATE(INT((A231-1)/12)+1,"-й год ",A231-1-INT((A231-1)/12)*12+1,"-й мес")</f>
        <v>19-й год 5-й мес</v>
      </c>
      <c r="C231" s="382" t="n">
        <f aca="false">DATE(YEAR(C230),MONTH(C230)+1,DAY(C230))</f>
        <v>50587</v>
      </c>
      <c r="D231" s="383" t="n">
        <f aca="false">IFERROR(IF(R231*$D$4/100/12/(1-(1+$D$4/100/12)^(-Q231))&lt;G230,ROUNDUP(R231*$D$4/100/12/(1-(1+$D$4/100/12)^(-Q231)),0),G230+F231),0)</f>
        <v>0</v>
      </c>
      <c r="E231" s="384" t="n">
        <f aca="false">D231-F231</f>
        <v>0</v>
      </c>
      <c r="F231" s="384" t="n">
        <f aca="false">G230*$D$4*(C231-C230)/(DATE(YEAR(C231)+1,1,1)-DATE(YEAR(C231),1,1))/100</f>
        <v>0</v>
      </c>
      <c r="G231" s="385" t="n">
        <f aca="false">G230-E231-L231-M231</f>
        <v>0</v>
      </c>
      <c r="H231" s="386" t="n">
        <f aca="false">IFERROR(I231+J231,0)</f>
        <v>0</v>
      </c>
      <c r="I231" s="384" t="n">
        <f aca="false">IFERROR(IF($D$3/$D$5&lt;K230,$D$3/$D$5,K230),0)</f>
        <v>0</v>
      </c>
      <c r="J231" s="384" t="n">
        <f aca="false">K230*$D$4/12/100</f>
        <v>0</v>
      </c>
      <c r="K231" s="387" t="n">
        <f aca="false">K230-I231-L231-M231</f>
        <v>0</v>
      </c>
      <c r="L231" s="388"/>
      <c r="M231" s="389"/>
      <c r="N231" s="409"/>
      <c r="O231" s="409"/>
      <c r="P231" s="391" t="n">
        <f aca="false">IF(ISBLANK(L230),VALUE(P230),ROW(L230))</f>
        <v>10</v>
      </c>
      <c r="Q231" s="314" t="n">
        <f aca="false">Q230+P230-P231</f>
        <v>12</v>
      </c>
      <c r="R231" s="314" t="n">
        <f aca="false">INDEX(G:G,P231,1)</f>
        <v>69000</v>
      </c>
      <c r="S231" s="312"/>
    </row>
    <row r="232" s="379" customFormat="true" ht="14.9" hidden="false" customHeight="false" outlineLevel="0" collapsed="false">
      <c r="A232" s="380" t="n">
        <v>222</v>
      </c>
      <c r="B232" s="381" t="str">
        <f aca="false">CONCATENATE(INT((A232-1)/12)+1,"-й год ",A232-1-INT((A232-1)/12)*12+1,"-й мес")</f>
        <v>19-й год 6-й мес</v>
      </c>
      <c r="C232" s="382" t="n">
        <f aca="false">DATE(YEAR(C231),MONTH(C231)+1,DAY(C231))</f>
        <v>50618</v>
      </c>
      <c r="D232" s="383" t="n">
        <f aca="false">IFERROR(IF(R232*$D$4/100/12/(1-(1+$D$4/100/12)^(-Q232))&lt;G231,ROUNDUP(R232*$D$4/100/12/(1-(1+$D$4/100/12)^(-Q232)),0),G231+F232),0)</f>
        <v>0</v>
      </c>
      <c r="E232" s="384" t="n">
        <f aca="false">D232-F232</f>
        <v>0</v>
      </c>
      <c r="F232" s="384" t="n">
        <f aca="false">G231*$D$4*(C232-C231)/(DATE(YEAR(C232)+1,1,1)-DATE(YEAR(C232),1,1))/100</f>
        <v>0</v>
      </c>
      <c r="G232" s="385" t="n">
        <f aca="false">G231-E232-L232-M232</f>
        <v>0</v>
      </c>
      <c r="H232" s="386" t="n">
        <f aca="false">IFERROR(I232+J232,0)</f>
        <v>0</v>
      </c>
      <c r="I232" s="384" t="n">
        <f aca="false">IFERROR(IF($D$3/$D$5&lt;K231,$D$3/$D$5,K231),0)</f>
        <v>0</v>
      </c>
      <c r="J232" s="384" t="n">
        <f aca="false">K231*$D$4/12/100</f>
        <v>0</v>
      </c>
      <c r="K232" s="387" t="n">
        <f aca="false">K231-I232-L232-M232</f>
        <v>0</v>
      </c>
      <c r="L232" s="388"/>
      <c r="M232" s="389"/>
      <c r="N232" s="409"/>
      <c r="O232" s="409"/>
      <c r="P232" s="391" t="n">
        <f aca="false">IF(ISBLANK(L231),VALUE(P231),ROW(L231))</f>
        <v>10</v>
      </c>
      <c r="Q232" s="314" t="n">
        <f aca="false">Q231+P231-P232</f>
        <v>12</v>
      </c>
      <c r="R232" s="314" t="n">
        <f aca="false">INDEX(G:G,P232,1)</f>
        <v>69000</v>
      </c>
      <c r="S232" s="312"/>
    </row>
    <row r="233" s="379" customFormat="true" ht="14.9" hidden="false" customHeight="false" outlineLevel="0" collapsed="false">
      <c r="A233" s="380" t="n">
        <v>223</v>
      </c>
      <c r="B233" s="381" t="str">
        <f aca="false">CONCATENATE(INT((A233-1)/12)+1,"-й год ",A233-1-INT((A233-1)/12)*12+1,"-й мес")</f>
        <v>19-й год 7-й мес</v>
      </c>
      <c r="C233" s="382" t="n">
        <f aca="false">DATE(YEAR(C232),MONTH(C232)+1,DAY(C232))</f>
        <v>50649</v>
      </c>
      <c r="D233" s="383" t="n">
        <f aca="false">IFERROR(IF(R233*$D$4/100/12/(1-(1+$D$4/100/12)^(-Q233))&lt;G232,ROUNDUP(R233*$D$4/100/12/(1-(1+$D$4/100/12)^(-Q233)),0),G232+F233),0)</f>
        <v>0</v>
      </c>
      <c r="E233" s="384" t="n">
        <f aca="false">D233-F233</f>
        <v>0</v>
      </c>
      <c r="F233" s="384" t="n">
        <f aca="false">G232*$D$4*(C233-C232)/(DATE(YEAR(C233)+1,1,1)-DATE(YEAR(C233),1,1))/100</f>
        <v>0</v>
      </c>
      <c r="G233" s="385" t="n">
        <f aca="false">G232-E233-L233-M233</f>
        <v>0</v>
      </c>
      <c r="H233" s="386" t="n">
        <f aca="false">IFERROR(I233+J233,0)</f>
        <v>0</v>
      </c>
      <c r="I233" s="384" t="n">
        <f aca="false">IFERROR(IF($D$3/$D$5&lt;K232,$D$3/$D$5,K232),0)</f>
        <v>0</v>
      </c>
      <c r="J233" s="384" t="n">
        <f aca="false">K232*$D$4/12/100</f>
        <v>0</v>
      </c>
      <c r="K233" s="387" t="n">
        <f aca="false">K232-I233-L233-M233</f>
        <v>0</v>
      </c>
      <c r="L233" s="388"/>
      <c r="M233" s="389"/>
      <c r="N233" s="409"/>
      <c r="O233" s="409"/>
      <c r="P233" s="391" t="n">
        <f aca="false">IF(ISBLANK(L232),VALUE(P232),ROW(L232))</f>
        <v>10</v>
      </c>
      <c r="Q233" s="314" t="n">
        <f aca="false">Q232+P232-P233</f>
        <v>12</v>
      </c>
      <c r="R233" s="314" t="n">
        <f aca="false">INDEX(G:G,P233,1)</f>
        <v>69000</v>
      </c>
      <c r="S233" s="312"/>
    </row>
    <row r="234" s="379" customFormat="true" ht="14.9" hidden="false" customHeight="false" outlineLevel="0" collapsed="false">
      <c r="A234" s="380" t="n">
        <v>224</v>
      </c>
      <c r="B234" s="381" t="str">
        <f aca="false">CONCATENATE(INT((A234-1)/12)+1,"-й год ",A234-1-INT((A234-1)/12)*12+1,"-й мес")</f>
        <v>19-й год 8-й мес</v>
      </c>
      <c r="C234" s="382" t="n">
        <f aca="false">DATE(YEAR(C233),MONTH(C233)+1,DAY(C233))</f>
        <v>50679</v>
      </c>
      <c r="D234" s="383" t="n">
        <f aca="false">IFERROR(IF(R234*$D$4/100/12/(1-(1+$D$4/100/12)^(-Q234))&lt;G233,ROUNDUP(R234*$D$4/100/12/(1-(1+$D$4/100/12)^(-Q234)),0),G233+F234),0)</f>
        <v>0</v>
      </c>
      <c r="E234" s="384" t="n">
        <f aca="false">D234-F234</f>
        <v>0</v>
      </c>
      <c r="F234" s="384" t="n">
        <f aca="false">G233*$D$4*(C234-C233)/(DATE(YEAR(C234)+1,1,1)-DATE(YEAR(C234),1,1))/100</f>
        <v>0</v>
      </c>
      <c r="G234" s="385" t="n">
        <f aca="false">G233-E234-L234-M234</f>
        <v>0</v>
      </c>
      <c r="H234" s="386" t="n">
        <f aca="false">IFERROR(I234+J234,0)</f>
        <v>0</v>
      </c>
      <c r="I234" s="384" t="n">
        <f aca="false">IFERROR(IF($D$3/$D$5&lt;K233,$D$3/$D$5,K233),0)</f>
        <v>0</v>
      </c>
      <c r="J234" s="384" t="n">
        <f aca="false">K233*$D$4/12/100</f>
        <v>0</v>
      </c>
      <c r="K234" s="387" t="n">
        <f aca="false">K233-I234-L234-M234</f>
        <v>0</v>
      </c>
      <c r="L234" s="388"/>
      <c r="M234" s="389"/>
      <c r="N234" s="409"/>
      <c r="O234" s="409"/>
      <c r="P234" s="391" t="n">
        <f aca="false">IF(ISBLANK(L233),VALUE(P233),ROW(L233))</f>
        <v>10</v>
      </c>
      <c r="Q234" s="314" t="n">
        <f aca="false">Q233+P233-P234</f>
        <v>12</v>
      </c>
      <c r="R234" s="314" t="n">
        <f aca="false">INDEX(G:G,P234,1)</f>
        <v>69000</v>
      </c>
      <c r="S234" s="312"/>
    </row>
    <row r="235" s="379" customFormat="true" ht="14.9" hidden="false" customHeight="false" outlineLevel="0" collapsed="false">
      <c r="A235" s="380" t="n">
        <v>225</v>
      </c>
      <c r="B235" s="381" t="str">
        <f aca="false">CONCATENATE(INT((A235-1)/12)+1,"-й год ",A235-1-INT((A235-1)/12)*12+1,"-й мес")</f>
        <v>19-й год 9-й мес</v>
      </c>
      <c r="C235" s="382" t="n">
        <f aca="false">DATE(YEAR(C234),MONTH(C234)+1,DAY(C234))</f>
        <v>50710</v>
      </c>
      <c r="D235" s="383" t="n">
        <f aca="false">IFERROR(IF(R235*$D$4/100/12/(1-(1+$D$4/100/12)^(-Q235))&lt;G234,ROUNDUP(R235*$D$4/100/12/(1-(1+$D$4/100/12)^(-Q235)),0),G234+F235),0)</f>
        <v>0</v>
      </c>
      <c r="E235" s="384" t="n">
        <f aca="false">D235-F235</f>
        <v>0</v>
      </c>
      <c r="F235" s="384" t="n">
        <f aca="false">G234*$D$4*(C235-C234)/(DATE(YEAR(C235)+1,1,1)-DATE(YEAR(C235),1,1))/100</f>
        <v>0</v>
      </c>
      <c r="G235" s="385" t="n">
        <f aca="false">G234-E235-L235-M235</f>
        <v>0</v>
      </c>
      <c r="H235" s="386" t="n">
        <f aca="false">IFERROR(I235+J235,0)</f>
        <v>0</v>
      </c>
      <c r="I235" s="384" t="n">
        <f aca="false">IFERROR(IF($D$3/$D$5&lt;K234,$D$3/$D$5,K234),0)</f>
        <v>0</v>
      </c>
      <c r="J235" s="384" t="n">
        <f aca="false">K234*$D$4/12/100</f>
        <v>0</v>
      </c>
      <c r="K235" s="387" t="n">
        <f aca="false">K234-I235-L235-M235</f>
        <v>0</v>
      </c>
      <c r="L235" s="388"/>
      <c r="M235" s="389"/>
      <c r="N235" s="409"/>
      <c r="O235" s="409"/>
      <c r="P235" s="391" t="n">
        <f aca="false">IF(ISBLANK(L234),VALUE(P234),ROW(L234))</f>
        <v>10</v>
      </c>
      <c r="Q235" s="314" t="n">
        <f aca="false">Q234+P234-P235</f>
        <v>12</v>
      </c>
      <c r="R235" s="314" t="n">
        <f aca="false">INDEX(G:G,P235,1)</f>
        <v>69000</v>
      </c>
      <c r="S235" s="312"/>
    </row>
    <row r="236" s="379" customFormat="true" ht="14.9" hidden="false" customHeight="false" outlineLevel="0" collapsed="false">
      <c r="A236" s="380" t="n">
        <v>226</v>
      </c>
      <c r="B236" s="381" t="str">
        <f aca="false">CONCATENATE(INT((A236-1)/12)+1,"-й год ",A236-1-INT((A236-1)/12)*12+1,"-й мес")</f>
        <v>19-й год 10-й мес</v>
      </c>
      <c r="C236" s="382" t="n">
        <f aca="false">DATE(YEAR(C235),MONTH(C235)+1,DAY(C235))</f>
        <v>50740</v>
      </c>
      <c r="D236" s="383" t="n">
        <f aca="false">IFERROR(IF(R236*$D$4/100/12/(1-(1+$D$4/100/12)^(-Q236))&lt;G235,ROUNDUP(R236*$D$4/100/12/(1-(1+$D$4/100/12)^(-Q236)),0),G235+F236),0)</f>
        <v>0</v>
      </c>
      <c r="E236" s="384" t="n">
        <f aca="false">D236-F236</f>
        <v>0</v>
      </c>
      <c r="F236" s="384" t="n">
        <f aca="false">G235*$D$4*(C236-C235)/(DATE(YEAR(C236)+1,1,1)-DATE(YEAR(C236),1,1))/100</f>
        <v>0</v>
      </c>
      <c r="G236" s="385" t="n">
        <f aca="false">G235-E236-L236-M236</f>
        <v>0</v>
      </c>
      <c r="H236" s="386" t="n">
        <f aca="false">IFERROR(I236+J236,0)</f>
        <v>0</v>
      </c>
      <c r="I236" s="384" t="n">
        <f aca="false">IFERROR(IF($D$3/$D$5&lt;K235,$D$3/$D$5,K235),0)</f>
        <v>0</v>
      </c>
      <c r="J236" s="384" t="n">
        <f aca="false">K235*$D$4/12/100</f>
        <v>0</v>
      </c>
      <c r="K236" s="387" t="n">
        <f aca="false">K235-I236-L236-M236</f>
        <v>0</v>
      </c>
      <c r="L236" s="388"/>
      <c r="M236" s="389"/>
      <c r="N236" s="409"/>
      <c r="O236" s="409"/>
      <c r="P236" s="391" t="n">
        <f aca="false">IF(ISBLANK(L235),VALUE(P235),ROW(L235))</f>
        <v>10</v>
      </c>
      <c r="Q236" s="314" t="n">
        <f aca="false">Q235+P235-P236</f>
        <v>12</v>
      </c>
      <c r="R236" s="314" t="n">
        <f aca="false">INDEX(G:G,P236,1)</f>
        <v>69000</v>
      </c>
      <c r="S236" s="312"/>
    </row>
    <row r="237" s="379" customFormat="true" ht="14.9" hidden="false" customHeight="false" outlineLevel="0" collapsed="false">
      <c r="A237" s="380" t="n">
        <v>227</v>
      </c>
      <c r="B237" s="381" t="str">
        <f aca="false">CONCATENATE(INT((A237-1)/12)+1,"-й год ",A237-1-INT((A237-1)/12)*12+1,"-й мес")</f>
        <v>19-й год 11-й мес</v>
      </c>
      <c r="C237" s="382" t="n">
        <f aca="false">DATE(YEAR(C236),MONTH(C236)+1,DAY(C236))</f>
        <v>50771</v>
      </c>
      <c r="D237" s="383" t="n">
        <f aca="false">IFERROR(IF(R237*$D$4/100/12/(1-(1+$D$4/100/12)^(-Q237))&lt;G236,ROUNDUP(R237*$D$4/100/12/(1-(1+$D$4/100/12)^(-Q237)),0),G236+F237),0)</f>
        <v>0</v>
      </c>
      <c r="E237" s="384" t="n">
        <f aca="false">D237-F237</f>
        <v>0</v>
      </c>
      <c r="F237" s="384" t="n">
        <f aca="false">G236*$D$4*(C237-C236)/(DATE(YEAR(C237)+1,1,1)-DATE(YEAR(C237),1,1))/100</f>
        <v>0</v>
      </c>
      <c r="G237" s="385" t="n">
        <f aca="false">G236-E237-L237-M237</f>
        <v>0</v>
      </c>
      <c r="H237" s="386" t="n">
        <f aca="false">IFERROR(I237+J237,0)</f>
        <v>0</v>
      </c>
      <c r="I237" s="384" t="n">
        <f aca="false">IFERROR(IF($D$3/$D$5&lt;K236,$D$3/$D$5,K236),0)</f>
        <v>0</v>
      </c>
      <c r="J237" s="384" t="n">
        <f aca="false">K236*$D$4/12/100</f>
        <v>0</v>
      </c>
      <c r="K237" s="387" t="n">
        <f aca="false">K236-I237-L237-M237</f>
        <v>0</v>
      </c>
      <c r="L237" s="388"/>
      <c r="M237" s="389"/>
      <c r="N237" s="409"/>
      <c r="O237" s="409"/>
      <c r="P237" s="391" t="n">
        <f aca="false">IF(ISBLANK(L236),VALUE(P236),ROW(L236))</f>
        <v>10</v>
      </c>
      <c r="Q237" s="314" t="n">
        <f aca="false">Q236+P236-P237</f>
        <v>12</v>
      </c>
      <c r="R237" s="314" t="n">
        <f aca="false">INDEX(G:G,P237,1)</f>
        <v>69000</v>
      </c>
      <c r="S237" s="312"/>
    </row>
    <row r="238" s="379" customFormat="true" ht="14.9" hidden="false" customHeight="false" outlineLevel="0" collapsed="false">
      <c r="A238" s="380" t="n">
        <v>228</v>
      </c>
      <c r="B238" s="392" t="str">
        <f aca="false">CONCATENATE(INT((A238-1)/12)+1,"-й год ",A238-1-INT((A238-1)/12)*12+1,"-й мес")</f>
        <v>19-й год 12-й мес</v>
      </c>
      <c r="C238" s="393" t="n">
        <f aca="false">DATE(YEAR(C237),MONTH(C237)+1,DAY(C237))</f>
        <v>50802</v>
      </c>
      <c r="D238" s="394" t="n">
        <f aca="false">IFERROR(IF(R238*$D$4/100/12/(1-(1+$D$4/100/12)^(-Q238))&lt;G237,ROUNDUP(R238*$D$4/100/12/(1-(1+$D$4/100/12)^(-Q238)),0),G237+F238),0)</f>
        <v>0</v>
      </c>
      <c r="E238" s="395" t="n">
        <f aca="false">D238-F238</f>
        <v>0</v>
      </c>
      <c r="F238" s="395" t="n">
        <f aca="false">G237*$D$4*(C238-C237)/(DATE(YEAR(C238)+1,1,1)-DATE(YEAR(C238),1,1))/100</f>
        <v>0</v>
      </c>
      <c r="G238" s="385" t="n">
        <f aca="false">G237-E238-L238-M238</f>
        <v>0</v>
      </c>
      <c r="H238" s="386" t="n">
        <f aca="false">IFERROR(I238+J238,0)</f>
        <v>0</v>
      </c>
      <c r="I238" s="384" t="n">
        <f aca="false">IFERROR(IF($D$3/$D$5&lt;K237,$D$3/$D$5,K237),0)</f>
        <v>0</v>
      </c>
      <c r="J238" s="384" t="n">
        <f aca="false">K237*$D$4/12/100</f>
        <v>0</v>
      </c>
      <c r="K238" s="387" t="n">
        <f aca="false">K237-I238-L238-M238</f>
        <v>0</v>
      </c>
      <c r="L238" s="388"/>
      <c r="M238" s="389"/>
      <c r="N238" s="409"/>
      <c r="O238" s="409"/>
      <c r="P238" s="391" t="n">
        <f aca="false">IF(ISBLANK(L237),VALUE(P237),ROW(L237))</f>
        <v>10</v>
      </c>
      <c r="Q238" s="314" t="n">
        <f aca="false">Q237+P237-P238</f>
        <v>12</v>
      </c>
      <c r="R238" s="314" t="n">
        <f aca="false">INDEX(G:G,P238,1)</f>
        <v>69000</v>
      </c>
      <c r="S238" s="312"/>
    </row>
    <row r="239" s="379" customFormat="true" ht="14.9" hidden="false" customHeight="false" outlineLevel="0" collapsed="false">
      <c r="A239" s="396" t="n">
        <v>229</v>
      </c>
      <c r="B239" s="381" t="str">
        <f aca="false">CONCATENATE(INT((A239-1)/12)+1,"-й год ",A239-1-INT((A239-1)/12)*12+1,"-й мес")</f>
        <v>20-й год 1-й мес</v>
      </c>
      <c r="C239" s="382" t="n">
        <f aca="false">DATE(YEAR(C238),MONTH(C238)+1,DAY(C238))</f>
        <v>50830</v>
      </c>
      <c r="D239" s="383" t="n">
        <f aca="false">IFERROR(IF(R239*$D$4/100/12/(1-(1+$D$4/100/12)^(-Q239))&lt;G238,ROUNDUP(R239*$D$4/100/12/(1-(1+$D$4/100/12)^(-Q239)),0),G238+F239),0)</f>
        <v>0</v>
      </c>
      <c r="E239" s="384" t="n">
        <f aca="false">D239-F239</f>
        <v>0</v>
      </c>
      <c r="F239" s="384" t="n">
        <f aca="false">G238*$D$4*(C239-C238)/(DATE(YEAR(C239)+1,1,1)-DATE(YEAR(C239),1,1))/100</f>
        <v>0</v>
      </c>
      <c r="G239" s="397" t="n">
        <f aca="false">G238-E239-L239-M239</f>
        <v>0</v>
      </c>
      <c r="H239" s="398" t="n">
        <f aca="false">IFERROR(I239+J239,0)</f>
        <v>0</v>
      </c>
      <c r="I239" s="399" t="n">
        <f aca="false">IFERROR(IF($D$3/$D$5&lt;K238,$D$3/$D$5,K238),0)</f>
        <v>0</v>
      </c>
      <c r="J239" s="399" t="n">
        <f aca="false">K238*$D$4/12/100</f>
        <v>0</v>
      </c>
      <c r="K239" s="400" t="n">
        <f aca="false">K238-I239-L239-M239</f>
        <v>0</v>
      </c>
      <c r="L239" s="401"/>
      <c r="M239" s="402"/>
      <c r="N239" s="409"/>
      <c r="O239" s="409"/>
      <c r="P239" s="391" t="n">
        <f aca="false">IF(ISBLANK(L238),VALUE(P238),ROW(L238))</f>
        <v>10</v>
      </c>
      <c r="Q239" s="314" t="n">
        <f aca="false">Q238+P238-P239</f>
        <v>12</v>
      </c>
      <c r="R239" s="314" t="n">
        <f aca="false">INDEX(G:G,P239,1)</f>
        <v>69000</v>
      </c>
      <c r="S239" s="312"/>
    </row>
    <row r="240" s="379" customFormat="true" ht="14.9" hidden="false" customHeight="false" outlineLevel="0" collapsed="false">
      <c r="A240" s="403" t="n">
        <v>230</v>
      </c>
      <c r="B240" s="381" t="str">
        <f aca="false">CONCATENATE(INT((A240-1)/12)+1,"-й год ",A240-1-INT((A240-1)/12)*12+1,"-й мес")</f>
        <v>20-й год 2-й мес</v>
      </c>
      <c r="C240" s="382" t="n">
        <f aca="false">DATE(YEAR(C239),MONTH(C239)+1,DAY(C239))</f>
        <v>50861</v>
      </c>
      <c r="D240" s="383" t="n">
        <f aca="false">IFERROR(IF(R240*$D$4/100/12/(1-(1+$D$4/100/12)^(-Q240))&lt;G239,ROUNDUP(R240*$D$4/100/12/(1-(1+$D$4/100/12)^(-Q240)),0),G239+F240),0)</f>
        <v>0</v>
      </c>
      <c r="E240" s="384" t="n">
        <f aca="false">D240-F240</f>
        <v>0</v>
      </c>
      <c r="F240" s="384" t="n">
        <f aca="false">G239*$D$4*(C240-C239)/(DATE(YEAR(C240)+1,1,1)-DATE(YEAR(C240),1,1))/100</f>
        <v>0</v>
      </c>
      <c r="G240" s="385" t="n">
        <f aca="false">G239-E240-L240-M240</f>
        <v>0</v>
      </c>
      <c r="H240" s="386" t="n">
        <f aca="false">IFERROR(I240+J240,0)</f>
        <v>0</v>
      </c>
      <c r="I240" s="384" t="n">
        <f aca="false">IFERROR(IF($D$3/$D$5&lt;K239,$D$3/$D$5,K239),0)</f>
        <v>0</v>
      </c>
      <c r="J240" s="384" t="n">
        <f aca="false">K239*$D$4/12/100</f>
        <v>0</v>
      </c>
      <c r="K240" s="387" t="n">
        <f aca="false">K239-I240-L240-M240</f>
        <v>0</v>
      </c>
      <c r="L240" s="388"/>
      <c r="M240" s="389"/>
      <c r="N240" s="409"/>
      <c r="O240" s="409"/>
      <c r="P240" s="391" t="n">
        <f aca="false">IF(ISBLANK(L239),VALUE(P239),ROW(L239))</f>
        <v>10</v>
      </c>
      <c r="Q240" s="314" t="n">
        <f aca="false">Q239+P239-P240</f>
        <v>12</v>
      </c>
      <c r="R240" s="314" t="n">
        <f aca="false">INDEX(G:G,P240,1)</f>
        <v>69000</v>
      </c>
      <c r="S240" s="312"/>
    </row>
    <row r="241" s="379" customFormat="true" ht="14.9" hidden="false" customHeight="false" outlineLevel="0" collapsed="false">
      <c r="A241" s="403" t="n">
        <v>231</v>
      </c>
      <c r="B241" s="381" t="str">
        <f aca="false">CONCATENATE(INT((A241-1)/12)+1,"-й год ",A241-1-INT((A241-1)/12)*12+1,"-й мес")</f>
        <v>20-й год 3-й мес</v>
      </c>
      <c r="C241" s="382" t="n">
        <f aca="false">DATE(YEAR(C240),MONTH(C240)+1,DAY(C240))</f>
        <v>50891</v>
      </c>
      <c r="D241" s="383" t="n">
        <f aca="false">IFERROR(IF(R241*$D$4/100/12/(1-(1+$D$4/100/12)^(-Q241))&lt;G240,ROUNDUP(R241*$D$4/100/12/(1-(1+$D$4/100/12)^(-Q241)),0),G240+F241),0)</f>
        <v>0</v>
      </c>
      <c r="E241" s="384" t="n">
        <f aca="false">D241-F241</f>
        <v>0</v>
      </c>
      <c r="F241" s="384" t="n">
        <f aca="false">G240*$D$4*(C241-C240)/(DATE(YEAR(C241)+1,1,1)-DATE(YEAR(C241),1,1))/100</f>
        <v>0</v>
      </c>
      <c r="G241" s="385" t="n">
        <f aca="false">G240-E241-L241-M241</f>
        <v>0</v>
      </c>
      <c r="H241" s="386" t="n">
        <f aca="false">IFERROR(I241+J241,0)</f>
        <v>0</v>
      </c>
      <c r="I241" s="384" t="n">
        <f aca="false">IFERROR(IF($D$3/$D$5&lt;K240,$D$3/$D$5,K240),0)</f>
        <v>0</v>
      </c>
      <c r="J241" s="384" t="n">
        <f aca="false">K240*$D$4/12/100</f>
        <v>0</v>
      </c>
      <c r="K241" s="387" t="n">
        <f aca="false">K240-I241-L241-M241</f>
        <v>0</v>
      </c>
      <c r="L241" s="388"/>
      <c r="M241" s="389"/>
      <c r="N241" s="409"/>
      <c r="O241" s="409"/>
      <c r="P241" s="391" t="n">
        <f aca="false">IF(ISBLANK(L240),VALUE(P240),ROW(L240))</f>
        <v>10</v>
      </c>
      <c r="Q241" s="314" t="n">
        <f aca="false">Q240+P240-P241</f>
        <v>12</v>
      </c>
      <c r="R241" s="314" t="n">
        <f aca="false">INDEX(G:G,P241,1)</f>
        <v>69000</v>
      </c>
      <c r="S241" s="312"/>
    </row>
    <row r="242" s="379" customFormat="true" ht="14.9" hidden="false" customHeight="false" outlineLevel="0" collapsed="false">
      <c r="A242" s="403" t="n">
        <v>232</v>
      </c>
      <c r="B242" s="381" t="str">
        <f aca="false">CONCATENATE(INT((A242-1)/12)+1,"-й год ",A242-1-INT((A242-1)/12)*12+1,"-й мес")</f>
        <v>20-й год 4-й мес</v>
      </c>
      <c r="C242" s="382" t="n">
        <f aca="false">DATE(YEAR(C241),MONTH(C241)+1,DAY(C241))</f>
        <v>50922</v>
      </c>
      <c r="D242" s="383" t="n">
        <f aca="false">IFERROR(IF(R242*$D$4/100/12/(1-(1+$D$4/100/12)^(-Q242))&lt;G241,ROUNDUP(R242*$D$4/100/12/(1-(1+$D$4/100/12)^(-Q242)),0),G241+F242),0)</f>
        <v>0</v>
      </c>
      <c r="E242" s="384" t="n">
        <f aca="false">D242-F242</f>
        <v>0</v>
      </c>
      <c r="F242" s="384" t="n">
        <f aca="false">G241*$D$4*(C242-C241)/(DATE(YEAR(C242)+1,1,1)-DATE(YEAR(C242),1,1))/100</f>
        <v>0</v>
      </c>
      <c r="G242" s="385" t="n">
        <f aca="false">G241-E242-L242-M242</f>
        <v>0</v>
      </c>
      <c r="H242" s="386" t="n">
        <f aca="false">IFERROR(I242+J242,0)</f>
        <v>0</v>
      </c>
      <c r="I242" s="384" t="n">
        <f aca="false">IFERROR(IF($D$3/$D$5&lt;K241,$D$3/$D$5,K241),0)</f>
        <v>0</v>
      </c>
      <c r="J242" s="384" t="n">
        <f aca="false">K241*$D$4/12/100</f>
        <v>0</v>
      </c>
      <c r="K242" s="387" t="n">
        <f aca="false">K241-I242-L242-M242</f>
        <v>0</v>
      </c>
      <c r="L242" s="388"/>
      <c r="M242" s="389"/>
      <c r="N242" s="409"/>
      <c r="O242" s="409"/>
      <c r="P242" s="391" t="n">
        <f aca="false">IF(ISBLANK(L241),VALUE(P241),ROW(L241))</f>
        <v>10</v>
      </c>
      <c r="Q242" s="314" t="n">
        <f aca="false">Q241+P241-P242</f>
        <v>12</v>
      </c>
      <c r="R242" s="314" t="n">
        <f aca="false">INDEX(G:G,P242,1)</f>
        <v>69000</v>
      </c>
      <c r="S242" s="312"/>
    </row>
    <row r="243" s="379" customFormat="true" ht="14.9" hidden="false" customHeight="false" outlineLevel="0" collapsed="false">
      <c r="A243" s="403" t="n">
        <v>233</v>
      </c>
      <c r="B243" s="381" t="str">
        <f aca="false">CONCATENATE(INT((A243-1)/12)+1,"-й год ",A243-1-INT((A243-1)/12)*12+1,"-й мес")</f>
        <v>20-й год 5-й мес</v>
      </c>
      <c r="C243" s="382" t="n">
        <f aca="false">DATE(YEAR(C242),MONTH(C242)+1,DAY(C242))</f>
        <v>50952</v>
      </c>
      <c r="D243" s="383" t="n">
        <f aca="false">IFERROR(IF(R243*$D$4/100/12/(1-(1+$D$4/100/12)^(-Q243))&lt;G242,ROUNDUP(R243*$D$4/100/12/(1-(1+$D$4/100/12)^(-Q243)),0),G242+F243),0)</f>
        <v>0</v>
      </c>
      <c r="E243" s="384" t="n">
        <f aca="false">D243-F243</f>
        <v>0</v>
      </c>
      <c r="F243" s="384" t="n">
        <f aca="false">G242*$D$4*(C243-C242)/(DATE(YEAR(C243)+1,1,1)-DATE(YEAR(C243),1,1))/100</f>
        <v>0</v>
      </c>
      <c r="G243" s="385" t="n">
        <f aca="false">G242-E243-L243-M243</f>
        <v>0</v>
      </c>
      <c r="H243" s="386" t="n">
        <f aca="false">IFERROR(I243+J243,0)</f>
        <v>0</v>
      </c>
      <c r="I243" s="384" t="n">
        <f aca="false">IFERROR(IF($D$3/$D$5&lt;K242,$D$3/$D$5,K242),0)</f>
        <v>0</v>
      </c>
      <c r="J243" s="384" t="n">
        <f aca="false">K242*$D$4/12/100</f>
        <v>0</v>
      </c>
      <c r="K243" s="387" t="n">
        <f aca="false">K242-I243-L243-M243</f>
        <v>0</v>
      </c>
      <c r="L243" s="388"/>
      <c r="M243" s="389"/>
      <c r="N243" s="409"/>
      <c r="O243" s="409"/>
      <c r="P243" s="391" t="n">
        <f aca="false">IF(ISBLANK(L242),VALUE(P242),ROW(L242))</f>
        <v>10</v>
      </c>
      <c r="Q243" s="314" t="n">
        <f aca="false">Q242+P242-P243</f>
        <v>12</v>
      </c>
      <c r="R243" s="314" t="n">
        <f aca="false">INDEX(G:G,P243,1)</f>
        <v>69000</v>
      </c>
      <c r="S243" s="312"/>
    </row>
    <row r="244" s="379" customFormat="true" ht="14.9" hidden="false" customHeight="false" outlineLevel="0" collapsed="false">
      <c r="A244" s="403" t="n">
        <v>234</v>
      </c>
      <c r="B244" s="381" t="str">
        <f aca="false">CONCATENATE(INT((A244-1)/12)+1,"-й год ",A244-1-INT((A244-1)/12)*12+1,"-й мес")</f>
        <v>20-й год 6-й мес</v>
      </c>
      <c r="C244" s="382" t="n">
        <f aca="false">DATE(YEAR(C243),MONTH(C243)+1,DAY(C243))</f>
        <v>50983</v>
      </c>
      <c r="D244" s="383" t="n">
        <f aca="false">IFERROR(IF(R244*$D$4/100/12/(1-(1+$D$4/100/12)^(-Q244))&lt;G243,ROUNDUP(R244*$D$4/100/12/(1-(1+$D$4/100/12)^(-Q244)),0),G243+F244),0)</f>
        <v>0</v>
      </c>
      <c r="E244" s="384" t="n">
        <f aca="false">D244-F244</f>
        <v>0</v>
      </c>
      <c r="F244" s="384" t="n">
        <f aca="false">G243*$D$4*(C244-C243)/(DATE(YEAR(C244)+1,1,1)-DATE(YEAR(C244),1,1))/100</f>
        <v>0</v>
      </c>
      <c r="G244" s="385" t="n">
        <f aca="false">G243-E244-L244-M244</f>
        <v>0</v>
      </c>
      <c r="H244" s="386" t="n">
        <f aca="false">IFERROR(I244+J244,0)</f>
        <v>0</v>
      </c>
      <c r="I244" s="384" t="n">
        <f aca="false">IFERROR(IF($D$3/$D$5&lt;K243,$D$3/$D$5,K243),0)</f>
        <v>0</v>
      </c>
      <c r="J244" s="384" t="n">
        <f aca="false">K243*$D$4/12/100</f>
        <v>0</v>
      </c>
      <c r="K244" s="387" t="n">
        <f aca="false">K243-I244-L244-M244</f>
        <v>0</v>
      </c>
      <c r="L244" s="388"/>
      <c r="M244" s="389"/>
      <c r="N244" s="409"/>
      <c r="O244" s="409"/>
      <c r="P244" s="391" t="n">
        <f aca="false">IF(ISBLANK(L243),VALUE(P243),ROW(L243))</f>
        <v>10</v>
      </c>
      <c r="Q244" s="314" t="n">
        <f aca="false">Q243+P243-P244</f>
        <v>12</v>
      </c>
      <c r="R244" s="314" t="n">
        <f aca="false">INDEX(G:G,P244,1)</f>
        <v>69000</v>
      </c>
      <c r="S244" s="312"/>
    </row>
    <row r="245" s="379" customFormat="true" ht="14.9" hidden="false" customHeight="false" outlineLevel="0" collapsed="false">
      <c r="A245" s="403" t="n">
        <v>235</v>
      </c>
      <c r="B245" s="381" t="str">
        <f aca="false">CONCATENATE(INT((A245-1)/12)+1,"-й год ",A245-1-INT((A245-1)/12)*12+1,"-й мес")</f>
        <v>20-й год 7-й мес</v>
      </c>
      <c r="C245" s="382" t="n">
        <f aca="false">DATE(YEAR(C244),MONTH(C244)+1,DAY(C244))</f>
        <v>51014</v>
      </c>
      <c r="D245" s="383" t="n">
        <f aca="false">IFERROR(IF(R245*$D$4/100/12/(1-(1+$D$4/100/12)^(-Q245))&lt;G244,ROUNDUP(R245*$D$4/100/12/(1-(1+$D$4/100/12)^(-Q245)),0),G244+F245),0)</f>
        <v>0</v>
      </c>
      <c r="E245" s="384" t="n">
        <f aca="false">D245-F245</f>
        <v>0</v>
      </c>
      <c r="F245" s="384" t="n">
        <f aca="false">G244*$D$4*(C245-C244)/(DATE(YEAR(C245)+1,1,1)-DATE(YEAR(C245),1,1))/100</f>
        <v>0</v>
      </c>
      <c r="G245" s="385" t="n">
        <f aca="false">G244-E245-L245-M245</f>
        <v>0</v>
      </c>
      <c r="H245" s="386" t="n">
        <f aca="false">IFERROR(I245+J245,0)</f>
        <v>0</v>
      </c>
      <c r="I245" s="384" t="n">
        <f aca="false">IFERROR(IF($D$3/$D$5&lt;K244,$D$3/$D$5,K244),0)</f>
        <v>0</v>
      </c>
      <c r="J245" s="384" t="n">
        <f aca="false">K244*$D$4/12/100</f>
        <v>0</v>
      </c>
      <c r="K245" s="387" t="n">
        <f aca="false">K244-I245-L245-M245</f>
        <v>0</v>
      </c>
      <c r="L245" s="388"/>
      <c r="M245" s="389"/>
      <c r="N245" s="409"/>
      <c r="O245" s="409"/>
      <c r="P245" s="391" t="n">
        <f aca="false">IF(ISBLANK(L244),VALUE(P244),ROW(L244))</f>
        <v>10</v>
      </c>
      <c r="Q245" s="314" t="n">
        <f aca="false">Q244+P244-P245</f>
        <v>12</v>
      </c>
      <c r="R245" s="314" t="n">
        <f aca="false">INDEX(G:G,P245,1)</f>
        <v>69000</v>
      </c>
      <c r="S245" s="312"/>
    </row>
    <row r="246" s="379" customFormat="true" ht="14.9" hidden="false" customHeight="false" outlineLevel="0" collapsed="false">
      <c r="A246" s="403" t="n">
        <v>236</v>
      </c>
      <c r="B246" s="381" t="str">
        <f aca="false">CONCATENATE(INT((A246-1)/12)+1,"-й год ",A246-1-INT((A246-1)/12)*12+1,"-й мес")</f>
        <v>20-й год 8-й мес</v>
      </c>
      <c r="C246" s="382" t="n">
        <f aca="false">DATE(YEAR(C245),MONTH(C245)+1,DAY(C245))</f>
        <v>51044</v>
      </c>
      <c r="D246" s="383" t="n">
        <f aca="false">IFERROR(IF(R246*$D$4/100/12/(1-(1+$D$4/100/12)^(-Q246))&lt;G245,ROUNDUP(R246*$D$4/100/12/(1-(1+$D$4/100/12)^(-Q246)),0),G245+F246),0)</f>
        <v>0</v>
      </c>
      <c r="E246" s="384" t="n">
        <f aca="false">D246-F246</f>
        <v>0</v>
      </c>
      <c r="F246" s="384" t="n">
        <f aca="false">G245*$D$4*(C246-C245)/(DATE(YEAR(C246)+1,1,1)-DATE(YEAR(C246),1,1))/100</f>
        <v>0</v>
      </c>
      <c r="G246" s="385" t="n">
        <f aca="false">G245-E246-L246-M246</f>
        <v>0</v>
      </c>
      <c r="H246" s="386" t="n">
        <f aca="false">IFERROR(I246+J246,0)</f>
        <v>0</v>
      </c>
      <c r="I246" s="384" t="n">
        <f aca="false">IFERROR(IF($D$3/$D$5&lt;K245,$D$3/$D$5,K245),0)</f>
        <v>0</v>
      </c>
      <c r="J246" s="384" t="n">
        <f aca="false">K245*$D$4/12/100</f>
        <v>0</v>
      </c>
      <c r="K246" s="387" t="n">
        <f aca="false">K245-I246-L246-M246</f>
        <v>0</v>
      </c>
      <c r="L246" s="388"/>
      <c r="M246" s="389"/>
      <c r="N246" s="409"/>
      <c r="O246" s="409"/>
      <c r="P246" s="391" t="n">
        <f aca="false">IF(ISBLANK(L245),VALUE(P245),ROW(L245))</f>
        <v>10</v>
      </c>
      <c r="Q246" s="314" t="n">
        <f aca="false">Q245+P245-P246</f>
        <v>12</v>
      </c>
      <c r="R246" s="314" t="n">
        <f aca="false">INDEX(G:G,P246,1)</f>
        <v>69000</v>
      </c>
      <c r="S246" s="312"/>
    </row>
    <row r="247" s="379" customFormat="true" ht="14.9" hidden="false" customHeight="false" outlineLevel="0" collapsed="false">
      <c r="A247" s="403" t="n">
        <v>237</v>
      </c>
      <c r="B247" s="381" t="str">
        <f aca="false">CONCATENATE(INT((A247-1)/12)+1,"-й год ",A247-1-INT((A247-1)/12)*12+1,"-й мес")</f>
        <v>20-й год 9-й мес</v>
      </c>
      <c r="C247" s="382" t="n">
        <f aca="false">DATE(YEAR(C246),MONTH(C246)+1,DAY(C246))</f>
        <v>51075</v>
      </c>
      <c r="D247" s="383" t="n">
        <f aca="false">IFERROR(IF(R247*$D$4/100/12/(1-(1+$D$4/100/12)^(-Q247))&lt;G246,ROUNDUP(R247*$D$4/100/12/(1-(1+$D$4/100/12)^(-Q247)),0),G246+F247),0)</f>
        <v>0</v>
      </c>
      <c r="E247" s="384" t="n">
        <f aca="false">D247-F247</f>
        <v>0</v>
      </c>
      <c r="F247" s="384" t="n">
        <f aca="false">G246*$D$4*(C247-C246)/(DATE(YEAR(C247)+1,1,1)-DATE(YEAR(C247),1,1))/100</f>
        <v>0</v>
      </c>
      <c r="G247" s="385" t="n">
        <f aca="false">G246-E247-L247-M247</f>
        <v>0</v>
      </c>
      <c r="H247" s="386" t="n">
        <f aca="false">IFERROR(I247+J247,0)</f>
        <v>0</v>
      </c>
      <c r="I247" s="384" t="n">
        <f aca="false">IFERROR(IF($D$3/$D$5&lt;K246,$D$3/$D$5,K246),0)</f>
        <v>0</v>
      </c>
      <c r="J247" s="384" t="n">
        <f aca="false">K246*$D$4/12/100</f>
        <v>0</v>
      </c>
      <c r="K247" s="387" t="n">
        <f aca="false">K246-I247-L247-M247</f>
        <v>0</v>
      </c>
      <c r="L247" s="388"/>
      <c r="M247" s="389"/>
      <c r="N247" s="409"/>
      <c r="O247" s="409"/>
      <c r="P247" s="391" t="n">
        <f aca="false">IF(ISBLANK(L246),VALUE(P246),ROW(L246))</f>
        <v>10</v>
      </c>
      <c r="Q247" s="314" t="n">
        <f aca="false">Q246+P246-P247</f>
        <v>12</v>
      </c>
      <c r="R247" s="314" t="n">
        <f aca="false">INDEX(G:G,P247,1)</f>
        <v>69000</v>
      </c>
      <c r="S247" s="312"/>
    </row>
    <row r="248" s="379" customFormat="true" ht="14.9" hidden="false" customHeight="false" outlineLevel="0" collapsed="false">
      <c r="A248" s="403" t="n">
        <v>238</v>
      </c>
      <c r="B248" s="381" t="str">
        <f aca="false">CONCATENATE(INT((A248-1)/12)+1,"-й год ",A248-1-INT((A248-1)/12)*12+1,"-й мес")</f>
        <v>20-й год 10-й мес</v>
      </c>
      <c r="C248" s="382" t="n">
        <f aca="false">DATE(YEAR(C247),MONTH(C247)+1,DAY(C247))</f>
        <v>51105</v>
      </c>
      <c r="D248" s="383" t="n">
        <f aca="false">IFERROR(IF(R248*$D$4/100/12/(1-(1+$D$4/100/12)^(-Q248))&lt;G247,ROUNDUP(R248*$D$4/100/12/(1-(1+$D$4/100/12)^(-Q248)),0),G247+F248),0)</f>
        <v>0</v>
      </c>
      <c r="E248" s="384" t="n">
        <f aca="false">D248-F248</f>
        <v>0</v>
      </c>
      <c r="F248" s="384" t="n">
        <f aca="false">G247*$D$4*(C248-C247)/(DATE(YEAR(C248)+1,1,1)-DATE(YEAR(C248),1,1))/100</f>
        <v>0</v>
      </c>
      <c r="G248" s="385" t="n">
        <f aca="false">G247-E248-L248-M248</f>
        <v>0</v>
      </c>
      <c r="H248" s="386" t="n">
        <f aca="false">IFERROR(I248+J248,0)</f>
        <v>0</v>
      </c>
      <c r="I248" s="384" t="n">
        <f aca="false">IFERROR(IF($D$3/$D$5&lt;K247,$D$3/$D$5,K247),0)</f>
        <v>0</v>
      </c>
      <c r="J248" s="384" t="n">
        <f aca="false">K247*$D$4/12/100</f>
        <v>0</v>
      </c>
      <c r="K248" s="387" t="n">
        <f aca="false">K247-I248-L248-M248</f>
        <v>0</v>
      </c>
      <c r="L248" s="388"/>
      <c r="M248" s="389"/>
      <c r="N248" s="409"/>
      <c r="O248" s="409"/>
      <c r="P248" s="391" t="n">
        <f aca="false">IF(ISBLANK(L247),VALUE(P247),ROW(L247))</f>
        <v>10</v>
      </c>
      <c r="Q248" s="314" t="n">
        <f aca="false">Q247+P247-P248</f>
        <v>12</v>
      </c>
      <c r="R248" s="314" t="n">
        <f aca="false">INDEX(G:G,P248,1)</f>
        <v>69000</v>
      </c>
      <c r="S248" s="312"/>
    </row>
    <row r="249" s="379" customFormat="true" ht="14.9" hidden="false" customHeight="false" outlineLevel="0" collapsed="false">
      <c r="A249" s="403" t="n">
        <v>239</v>
      </c>
      <c r="B249" s="381" t="str">
        <f aca="false">CONCATENATE(INT((A249-1)/12)+1,"-й год ",A249-1-INT((A249-1)/12)*12+1,"-й мес")</f>
        <v>20-й год 11-й мес</v>
      </c>
      <c r="C249" s="382" t="n">
        <f aca="false">DATE(YEAR(C248),MONTH(C248)+1,DAY(C248))</f>
        <v>51136</v>
      </c>
      <c r="D249" s="383" t="n">
        <f aca="false">IFERROR(IF(R249*$D$4/100/12/(1-(1+$D$4/100/12)^(-Q249))&lt;G248,ROUNDUP(R249*$D$4/100/12/(1-(1+$D$4/100/12)^(-Q249)),0),G248+F249),0)</f>
        <v>0</v>
      </c>
      <c r="E249" s="384" t="n">
        <f aca="false">D249-F249</f>
        <v>0</v>
      </c>
      <c r="F249" s="384" t="n">
        <f aca="false">G248*$D$4*(C249-C248)/(DATE(YEAR(C249)+1,1,1)-DATE(YEAR(C249),1,1))/100</f>
        <v>0</v>
      </c>
      <c r="G249" s="385" t="n">
        <f aca="false">G248-E249-L249-M249</f>
        <v>0</v>
      </c>
      <c r="H249" s="386" t="n">
        <f aca="false">IFERROR(I249+J249,0)</f>
        <v>0</v>
      </c>
      <c r="I249" s="384" t="n">
        <f aca="false">IFERROR(IF($D$3/$D$5&lt;K248,$D$3/$D$5,K248),0)</f>
        <v>0</v>
      </c>
      <c r="J249" s="384" t="n">
        <f aca="false">K248*$D$4/12/100</f>
        <v>0</v>
      </c>
      <c r="K249" s="387" t="n">
        <f aca="false">K248-I249-L249-M249</f>
        <v>0</v>
      </c>
      <c r="L249" s="388"/>
      <c r="M249" s="389"/>
      <c r="N249" s="409"/>
      <c r="O249" s="409"/>
      <c r="P249" s="391" t="n">
        <f aca="false">IF(ISBLANK(L248),VALUE(P248),ROW(L248))</f>
        <v>10</v>
      </c>
      <c r="Q249" s="314" t="n">
        <f aca="false">Q248+P248-P249</f>
        <v>12</v>
      </c>
      <c r="R249" s="314" t="n">
        <f aca="false">INDEX(G:G,P249,1)</f>
        <v>69000</v>
      </c>
      <c r="S249" s="312"/>
    </row>
    <row r="250" s="379" customFormat="true" ht="14.9" hidden="false" customHeight="false" outlineLevel="0" collapsed="false">
      <c r="A250" s="404" t="n">
        <v>240</v>
      </c>
      <c r="B250" s="392" t="str">
        <f aca="false">CONCATENATE(INT((A250-1)/12)+1,"-й год ",A250-1-INT((A250-1)/12)*12+1,"-й мес")</f>
        <v>20-й год 12-й мес</v>
      </c>
      <c r="C250" s="393" t="n">
        <f aca="false">DATE(YEAR(C249),MONTH(C249)+1,DAY(C249))</f>
        <v>51167</v>
      </c>
      <c r="D250" s="394" t="n">
        <f aca="false">IFERROR(IF(R250*$D$4/100/12/(1-(1+$D$4/100/12)^(-Q250))&lt;G249,ROUNDUP(R250*$D$4/100/12/(1-(1+$D$4/100/12)^(-Q250)),0),G249+F250),0)</f>
        <v>0</v>
      </c>
      <c r="E250" s="395" t="n">
        <f aca="false">D250-F250</f>
        <v>0</v>
      </c>
      <c r="F250" s="395" t="n">
        <f aca="false">G249*$D$4*(C250-C249)/(DATE(YEAR(C250)+1,1,1)-DATE(YEAR(C250),1,1))/100</f>
        <v>0</v>
      </c>
      <c r="G250" s="405" t="n">
        <f aca="false">G249-E250-L250-M250</f>
        <v>0</v>
      </c>
      <c r="H250" s="406" t="n">
        <f aca="false">IFERROR(I250+J250,0)</f>
        <v>0</v>
      </c>
      <c r="I250" s="395" t="n">
        <f aca="false">IFERROR(IF($D$3/$D$5&lt;K249,$D$3/$D$5,K249),0)</f>
        <v>0</v>
      </c>
      <c r="J250" s="395" t="n">
        <f aca="false">K249*$D$4/12/100</f>
        <v>0</v>
      </c>
      <c r="K250" s="407" t="n">
        <f aca="false">K249-I250-L250-M250</f>
        <v>0</v>
      </c>
      <c r="L250" s="408"/>
      <c r="M250" s="410"/>
      <c r="N250" s="409"/>
      <c r="O250" s="409"/>
      <c r="P250" s="391" t="n">
        <f aca="false">IF(ISBLANK(L249),VALUE(P249),ROW(L249))</f>
        <v>10</v>
      </c>
      <c r="Q250" s="314" t="n">
        <f aca="false">Q249+P249-P250</f>
        <v>12</v>
      </c>
      <c r="R250" s="314" t="n">
        <f aca="false">INDEX(G:G,P250,1)</f>
        <v>69000</v>
      </c>
      <c r="S250" s="312"/>
    </row>
    <row r="251" s="379" customFormat="true" ht="14.9" hidden="false" customHeight="false" outlineLevel="0" collapsed="false">
      <c r="A251" s="380" t="n">
        <v>241</v>
      </c>
      <c r="B251" s="381" t="str">
        <f aca="false">CONCATENATE(INT((A251-1)/12)+1,"-й год ",A251-1-INT((A251-1)/12)*12+1,"-й мес")</f>
        <v>21-й год 1-й мес</v>
      </c>
      <c r="C251" s="382" t="n">
        <f aca="false">DATE(YEAR(C250),MONTH(C250)+1,DAY(C250))</f>
        <v>51196</v>
      </c>
      <c r="D251" s="383" t="n">
        <f aca="false">IFERROR(IF(R251*$D$4/100/12/(1-(1+$D$4/100/12)^(-Q251))&lt;G250,ROUNDUP(R251*$D$4/100/12/(1-(1+$D$4/100/12)^(-Q251)),0),G250+F251),0)</f>
        <v>0</v>
      </c>
      <c r="E251" s="384" t="n">
        <f aca="false">D251-F251</f>
        <v>0</v>
      </c>
      <c r="F251" s="384" t="n">
        <f aca="false">G250*$D$4*(C251-C250)/(DATE(YEAR(C251)+1,1,1)-DATE(YEAR(C251),1,1))/100</f>
        <v>0</v>
      </c>
      <c r="G251" s="385" t="n">
        <f aca="false">G250-E251-L251-M251</f>
        <v>0</v>
      </c>
      <c r="H251" s="386" t="n">
        <f aca="false">IFERROR(I251+J251,0)</f>
        <v>0</v>
      </c>
      <c r="I251" s="384" t="n">
        <f aca="false">IFERROR(IF($D$3/$D$5&lt;K250,$D$3/$D$5,K250),0)</f>
        <v>0</v>
      </c>
      <c r="J251" s="384" t="n">
        <f aca="false">K250*$D$4/12/100</f>
        <v>0</v>
      </c>
      <c r="K251" s="387" t="n">
        <f aca="false">K250-I251-L251-M251</f>
        <v>0</v>
      </c>
      <c r="L251" s="388"/>
      <c r="M251" s="389"/>
      <c r="N251" s="409"/>
      <c r="O251" s="409"/>
      <c r="P251" s="391" t="n">
        <f aca="false">IF(ISBLANK(L250),VALUE(P250),ROW(L250))</f>
        <v>10</v>
      </c>
      <c r="Q251" s="314" t="n">
        <f aca="false">Q250+P250-P251</f>
        <v>12</v>
      </c>
      <c r="R251" s="314" t="n">
        <f aca="false">INDEX(G:G,P251,1)</f>
        <v>69000</v>
      </c>
      <c r="S251" s="312"/>
    </row>
    <row r="252" s="379" customFormat="true" ht="14.9" hidden="false" customHeight="false" outlineLevel="0" collapsed="false">
      <c r="A252" s="380" t="n">
        <v>242</v>
      </c>
      <c r="B252" s="381" t="str">
        <f aca="false">CONCATENATE(INT((A252-1)/12)+1,"-й год ",A252-1-INT((A252-1)/12)*12+1,"-й мес")</f>
        <v>21-й год 2-й мес</v>
      </c>
      <c r="C252" s="382" t="n">
        <f aca="false">DATE(YEAR(C251),MONTH(C251)+1,DAY(C251))</f>
        <v>51227</v>
      </c>
      <c r="D252" s="383" t="n">
        <f aca="false">IFERROR(IF(R252*$D$4/100/12/(1-(1+$D$4/100/12)^(-Q252))&lt;G251,ROUNDUP(R252*$D$4/100/12/(1-(1+$D$4/100/12)^(-Q252)),0),G251+F252),0)</f>
        <v>0</v>
      </c>
      <c r="E252" s="384" t="n">
        <f aca="false">D252-F252</f>
        <v>0</v>
      </c>
      <c r="F252" s="384" t="n">
        <f aca="false">G251*$D$4*(C252-C251)/(DATE(YEAR(C252)+1,1,1)-DATE(YEAR(C252),1,1))/100</f>
        <v>0</v>
      </c>
      <c r="G252" s="385" t="n">
        <f aca="false">G251-E252-L252-M252</f>
        <v>0</v>
      </c>
      <c r="H252" s="386" t="n">
        <f aca="false">IFERROR(I252+J252,0)</f>
        <v>0</v>
      </c>
      <c r="I252" s="384" t="n">
        <f aca="false">IFERROR(IF($D$3/$D$5&lt;K251,$D$3/$D$5,K251),0)</f>
        <v>0</v>
      </c>
      <c r="J252" s="384" t="n">
        <f aca="false">K251*$D$4/12/100</f>
        <v>0</v>
      </c>
      <c r="K252" s="387" t="n">
        <f aca="false">K251-I252-L252-M252</f>
        <v>0</v>
      </c>
      <c r="L252" s="388"/>
      <c r="M252" s="389"/>
      <c r="N252" s="409"/>
      <c r="O252" s="409"/>
      <c r="P252" s="391" t="n">
        <f aca="false">IF(ISBLANK(L251),VALUE(P251),ROW(L251))</f>
        <v>10</v>
      </c>
      <c r="Q252" s="314" t="n">
        <f aca="false">Q251+P251-P252</f>
        <v>12</v>
      </c>
      <c r="R252" s="314" t="n">
        <f aca="false">INDEX(G:G,P252,1)</f>
        <v>69000</v>
      </c>
      <c r="S252" s="312"/>
    </row>
    <row r="253" s="379" customFormat="true" ht="14.9" hidden="false" customHeight="false" outlineLevel="0" collapsed="false">
      <c r="A253" s="380" t="n">
        <v>243</v>
      </c>
      <c r="B253" s="381" t="str">
        <f aca="false">CONCATENATE(INT((A253-1)/12)+1,"-й год ",A253-1-INT((A253-1)/12)*12+1,"-й мес")</f>
        <v>21-й год 3-й мес</v>
      </c>
      <c r="C253" s="382" t="n">
        <f aca="false">DATE(YEAR(C252),MONTH(C252)+1,DAY(C252))</f>
        <v>51257</v>
      </c>
      <c r="D253" s="383" t="n">
        <f aca="false">IFERROR(IF(R253*$D$4/100/12/(1-(1+$D$4/100/12)^(-Q253))&lt;G252,ROUNDUP(R253*$D$4/100/12/(1-(1+$D$4/100/12)^(-Q253)),0),G252+F253),0)</f>
        <v>0</v>
      </c>
      <c r="E253" s="384" t="n">
        <f aca="false">D253-F253</f>
        <v>0</v>
      </c>
      <c r="F253" s="384" t="n">
        <f aca="false">G252*$D$4*(C253-C252)/(DATE(YEAR(C253)+1,1,1)-DATE(YEAR(C253),1,1))/100</f>
        <v>0</v>
      </c>
      <c r="G253" s="385" t="n">
        <f aca="false">G252-E253-L253-M253</f>
        <v>0</v>
      </c>
      <c r="H253" s="386" t="n">
        <f aca="false">IFERROR(I253+J253,0)</f>
        <v>0</v>
      </c>
      <c r="I253" s="384" t="n">
        <f aca="false">IFERROR(IF($D$3/$D$5&lt;K252,$D$3/$D$5,K252),0)</f>
        <v>0</v>
      </c>
      <c r="J253" s="384" t="n">
        <f aca="false">K252*$D$4/12/100</f>
        <v>0</v>
      </c>
      <c r="K253" s="387" t="n">
        <f aca="false">K252-I253-L253-M253</f>
        <v>0</v>
      </c>
      <c r="L253" s="388"/>
      <c r="M253" s="389"/>
      <c r="N253" s="409"/>
      <c r="O253" s="409"/>
      <c r="P253" s="391" t="n">
        <f aca="false">IF(ISBLANK(L252),VALUE(P252),ROW(L252))</f>
        <v>10</v>
      </c>
      <c r="Q253" s="314" t="n">
        <f aca="false">Q252+P252-P253</f>
        <v>12</v>
      </c>
      <c r="R253" s="314" t="n">
        <f aca="false">INDEX(G:G,P253,1)</f>
        <v>69000</v>
      </c>
      <c r="S253" s="312"/>
    </row>
    <row r="254" s="379" customFormat="true" ht="14.9" hidden="false" customHeight="false" outlineLevel="0" collapsed="false">
      <c r="A254" s="380" t="n">
        <v>244</v>
      </c>
      <c r="B254" s="381" t="str">
        <f aca="false">CONCATENATE(INT((A254-1)/12)+1,"-й год ",A254-1-INT((A254-1)/12)*12+1,"-й мес")</f>
        <v>21-й год 4-й мес</v>
      </c>
      <c r="C254" s="382" t="n">
        <f aca="false">DATE(YEAR(C253),MONTH(C253)+1,DAY(C253))</f>
        <v>51288</v>
      </c>
      <c r="D254" s="383" t="n">
        <f aca="false">IFERROR(IF(R254*$D$4/100/12/(1-(1+$D$4/100/12)^(-Q254))&lt;G253,ROUNDUP(R254*$D$4/100/12/(1-(1+$D$4/100/12)^(-Q254)),0),G253+F254),0)</f>
        <v>0</v>
      </c>
      <c r="E254" s="384" t="n">
        <f aca="false">D254-F254</f>
        <v>0</v>
      </c>
      <c r="F254" s="384" t="n">
        <f aca="false">G253*$D$4*(C254-C253)/(DATE(YEAR(C254)+1,1,1)-DATE(YEAR(C254),1,1))/100</f>
        <v>0</v>
      </c>
      <c r="G254" s="385" t="n">
        <f aca="false">G253-E254-L254-M254</f>
        <v>0</v>
      </c>
      <c r="H254" s="386" t="n">
        <f aca="false">IFERROR(I254+J254,0)</f>
        <v>0</v>
      </c>
      <c r="I254" s="384" t="n">
        <f aca="false">IFERROR(IF($D$3/$D$5&lt;K253,$D$3/$D$5,K253),0)</f>
        <v>0</v>
      </c>
      <c r="J254" s="384" t="n">
        <f aca="false">K253*$D$4/12/100</f>
        <v>0</v>
      </c>
      <c r="K254" s="387" t="n">
        <f aca="false">K253-I254-L254-M254</f>
        <v>0</v>
      </c>
      <c r="L254" s="388"/>
      <c r="M254" s="389"/>
      <c r="N254" s="409"/>
      <c r="O254" s="409"/>
      <c r="P254" s="391" t="n">
        <f aca="false">IF(ISBLANK(L253),VALUE(P253),ROW(L253))</f>
        <v>10</v>
      </c>
      <c r="Q254" s="314" t="n">
        <f aca="false">Q253+P253-P254</f>
        <v>12</v>
      </c>
      <c r="R254" s="314" t="n">
        <f aca="false">INDEX(G:G,P254,1)</f>
        <v>69000</v>
      </c>
      <c r="S254" s="312"/>
    </row>
    <row r="255" s="379" customFormat="true" ht="14.9" hidden="false" customHeight="false" outlineLevel="0" collapsed="false">
      <c r="A255" s="380" t="n">
        <v>245</v>
      </c>
      <c r="B255" s="381" t="str">
        <f aca="false">CONCATENATE(INT((A255-1)/12)+1,"-й год ",A255-1-INT((A255-1)/12)*12+1,"-й мес")</f>
        <v>21-й год 5-й мес</v>
      </c>
      <c r="C255" s="382" t="n">
        <f aca="false">DATE(YEAR(C254),MONTH(C254)+1,DAY(C254))</f>
        <v>51318</v>
      </c>
      <c r="D255" s="383" t="n">
        <f aca="false">IFERROR(IF(R255*$D$4/100/12/(1-(1+$D$4/100/12)^(-Q255))&lt;G254,ROUNDUP(R255*$D$4/100/12/(1-(1+$D$4/100/12)^(-Q255)),0),G254+F255),0)</f>
        <v>0</v>
      </c>
      <c r="E255" s="384" t="n">
        <f aca="false">D255-F255</f>
        <v>0</v>
      </c>
      <c r="F255" s="384" t="n">
        <f aca="false">G254*$D$4*(C255-C254)/(DATE(YEAR(C255)+1,1,1)-DATE(YEAR(C255),1,1))/100</f>
        <v>0</v>
      </c>
      <c r="G255" s="385" t="n">
        <f aca="false">G254-E255-L255-M255</f>
        <v>0</v>
      </c>
      <c r="H255" s="386" t="n">
        <f aca="false">IFERROR(I255+J255,0)</f>
        <v>0</v>
      </c>
      <c r="I255" s="384" t="n">
        <f aca="false">IFERROR(IF($D$3/$D$5&lt;K254,$D$3/$D$5,K254),0)</f>
        <v>0</v>
      </c>
      <c r="J255" s="384" t="n">
        <f aca="false">K254*$D$4/12/100</f>
        <v>0</v>
      </c>
      <c r="K255" s="387" t="n">
        <f aca="false">K254-I255-L255-M255</f>
        <v>0</v>
      </c>
      <c r="L255" s="388"/>
      <c r="M255" s="389"/>
      <c r="N255" s="409"/>
      <c r="O255" s="409"/>
      <c r="P255" s="391" t="n">
        <f aca="false">IF(ISBLANK(L254),VALUE(P254),ROW(L254))</f>
        <v>10</v>
      </c>
      <c r="Q255" s="314" t="n">
        <f aca="false">Q254+P254-P255</f>
        <v>12</v>
      </c>
      <c r="R255" s="314" t="n">
        <f aca="false">INDEX(G:G,P255,1)</f>
        <v>69000</v>
      </c>
      <c r="S255" s="312"/>
    </row>
    <row r="256" s="379" customFormat="true" ht="14.9" hidden="false" customHeight="false" outlineLevel="0" collapsed="false">
      <c r="A256" s="380" t="n">
        <v>246</v>
      </c>
      <c r="B256" s="381" t="str">
        <f aca="false">CONCATENATE(INT((A256-1)/12)+1,"-й год ",A256-1-INT((A256-1)/12)*12+1,"-й мес")</f>
        <v>21-й год 6-й мес</v>
      </c>
      <c r="C256" s="382" t="n">
        <f aca="false">DATE(YEAR(C255),MONTH(C255)+1,DAY(C255))</f>
        <v>51349</v>
      </c>
      <c r="D256" s="383" t="n">
        <f aca="false">IFERROR(IF(R256*$D$4/100/12/(1-(1+$D$4/100/12)^(-Q256))&lt;G255,ROUNDUP(R256*$D$4/100/12/(1-(1+$D$4/100/12)^(-Q256)),0),G255+F256),0)</f>
        <v>0</v>
      </c>
      <c r="E256" s="384" t="n">
        <f aca="false">D256-F256</f>
        <v>0</v>
      </c>
      <c r="F256" s="384" t="n">
        <f aca="false">G255*$D$4*(C256-C255)/(DATE(YEAR(C256)+1,1,1)-DATE(YEAR(C256),1,1))/100</f>
        <v>0</v>
      </c>
      <c r="G256" s="385" t="n">
        <f aca="false">G255-E256-L256-M256</f>
        <v>0</v>
      </c>
      <c r="H256" s="386" t="n">
        <f aca="false">IFERROR(I256+J256,0)</f>
        <v>0</v>
      </c>
      <c r="I256" s="384" t="n">
        <f aca="false">IFERROR(IF($D$3/$D$5&lt;K255,$D$3/$D$5,K255),0)</f>
        <v>0</v>
      </c>
      <c r="J256" s="384" t="n">
        <f aca="false">K255*$D$4/12/100</f>
        <v>0</v>
      </c>
      <c r="K256" s="387" t="n">
        <f aca="false">K255-I256-L256-M256</f>
        <v>0</v>
      </c>
      <c r="L256" s="388"/>
      <c r="M256" s="389"/>
      <c r="N256" s="409"/>
      <c r="O256" s="409"/>
      <c r="P256" s="391" t="n">
        <f aca="false">IF(ISBLANK(L255),VALUE(P255),ROW(L255))</f>
        <v>10</v>
      </c>
      <c r="Q256" s="314" t="n">
        <f aca="false">Q255+P255-P256</f>
        <v>12</v>
      </c>
      <c r="R256" s="314" t="n">
        <f aca="false">INDEX(G:G,P256,1)</f>
        <v>69000</v>
      </c>
      <c r="S256" s="312"/>
    </row>
    <row r="257" s="379" customFormat="true" ht="14.9" hidden="false" customHeight="false" outlineLevel="0" collapsed="false">
      <c r="A257" s="380" t="n">
        <v>247</v>
      </c>
      <c r="B257" s="381" t="str">
        <f aca="false">CONCATENATE(INT((A257-1)/12)+1,"-й год ",A257-1-INT((A257-1)/12)*12+1,"-й мес")</f>
        <v>21-й год 7-й мес</v>
      </c>
      <c r="C257" s="382" t="n">
        <f aca="false">DATE(YEAR(C256),MONTH(C256)+1,DAY(C256))</f>
        <v>51380</v>
      </c>
      <c r="D257" s="383" t="n">
        <f aca="false">IFERROR(IF(R257*$D$4/100/12/(1-(1+$D$4/100/12)^(-Q257))&lt;G256,ROUNDUP(R257*$D$4/100/12/(1-(1+$D$4/100/12)^(-Q257)),0),G256+F257),0)</f>
        <v>0</v>
      </c>
      <c r="E257" s="384" t="n">
        <f aca="false">D257-F257</f>
        <v>0</v>
      </c>
      <c r="F257" s="384" t="n">
        <f aca="false">G256*$D$4*(C257-C256)/(DATE(YEAR(C257)+1,1,1)-DATE(YEAR(C257),1,1))/100</f>
        <v>0</v>
      </c>
      <c r="G257" s="385" t="n">
        <f aca="false">G256-E257-L257-M257</f>
        <v>0</v>
      </c>
      <c r="H257" s="386" t="n">
        <f aca="false">IFERROR(I257+J257,0)</f>
        <v>0</v>
      </c>
      <c r="I257" s="384" t="n">
        <f aca="false">IFERROR(IF($D$3/$D$5&lt;K256,$D$3/$D$5,K256),0)</f>
        <v>0</v>
      </c>
      <c r="J257" s="384" t="n">
        <f aca="false">K256*$D$4/12/100</f>
        <v>0</v>
      </c>
      <c r="K257" s="387" t="n">
        <f aca="false">K256-I257-L257-M257</f>
        <v>0</v>
      </c>
      <c r="L257" s="388"/>
      <c r="M257" s="389"/>
      <c r="N257" s="409"/>
      <c r="O257" s="409"/>
      <c r="P257" s="391" t="n">
        <f aca="false">IF(ISBLANK(L256),VALUE(P256),ROW(L256))</f>
        <v>10</v>
      </c>
      <c r="Q257" s="314" t="n">
        <f aca="false">Q256+P256-P257</f>
        <v>12</v>
      </c>
      <c r="R257" s="314" t="n">
        <f aca="false">INDEX(G:G,P257,1)</f>
        <v>69000</v>
      </c>
      <c r="S257" s="312"/>
    </row>
    <row r="258" s="379" customFormat="true" ht="14.9" hidden="false" customHeight="false" outlineLevel="0" collapsed="false">
      <c r="A258" s="380" t="n">
        <v>248</v>
      </c>
      <c r="B258" s="381" t="str">
        <f aca="false">CONCATENATE(INT((A258-1)/12)+1,"-й год ",A258-1-INT((A258-1)/12)*12+1,"-й мес")</f>
        <v>21-й год 8-й мес</v>
      </c>
      <c r="C258" s="382" t="n">
        <f aca="false">DATE(YEAR(C257),MONTH(C257)+1,DAY(C257))</f>
        <v>51410</v>
      </c>
      <c r="D258" s="383" t="n">
        <f aca="false">IFERROR(IF(R258*$D$4/100/12/(1-(1+$D$4/100/12)^(-Q258))&lt;G257,ROUNDUP(R258*$D$4/100/12/(1-(1+$D$4/100/12)^(-Q258)),0),G257+F258),0)</f>
        <v>0</v>
      </c>
      <c r="E258" s="384" t="n">
        <f aca="false">D258-F258</f>
        <v>0</v>
      </c>
      <c r="F258" s="384" t="n">
        <f aca="false">G257*$D$4*(C258-C257)/(DATE(YEAR(C258)+1,1,1)-DATE(YEAR(C258),1,1))/100</f>
        <v>0</v>
      </c>
      <c r="G258" s="385" t="n">
        <f aca="false">G257-E258-L258-M258</f>
        <v>0</v>
      </c>
      <c r="H258" s="386" t="n">
        <f aca="false">IFERROR(I258+J258,0)</f>
        <v>0</v>
      </c>
      <c r="I258" s="384" t="n">
        <f aca="false">IFERROR(IF($D$3/$D$5&lt;K257,$D$3/$D$5,K257),0)</f>
        <v>0</v>
      </c>
      <c r="J258" s="384" t="n">
        <f aca="false">K257*$D$4/12/100</f>
        <v>0</v>
      </c>
      <c r="K258" s="387" t="n">
        <f aca="false">K257-I258-L258-M258</f>
        <v>0</v>
      </c>
      <c r="L258" s="388"/>
      <c r="M258" s="389"/>
      <c r="N258" s="409"/>
      <c r="O258" s="409"/>
      <c r="P258" s="391" t="n">
        <f aca="false">IF(ISBLANK(L257),VALUE(P257),ROW(L257))</f>
        <v>10</v>
      </c>
      <c r="Q258" s="314" t="n">
        <f aca="false">Q257+P257-P258</f>
        <v>12</v>
      </c>
      <c r="R258" s="314" t="n">
        <f aca="false">INDEX(G:G,P258,1)</f>
        <v>69000</v>
      </c>
      <c r="S258" s="312"/>
    </row>
    <row r="259" s="379" customFormat="true" ht="14.9" hidden="false" customHeight="false" outlineLevel="0" collapsed="false">
      <c r="A259" s="380" t="n">
        <v>249</v>
      </c>
      <c r="B259" s="381" t="str">
        <f aca="false">CONCATENATE(INT((A259-1)/12)+1,"-й год ",A259-1-INT((A259-1)/12)*12+1,"-й мес")</f>
        <v>21-й год 9-й мес</v>
      </c>
      <c r="C259" s="382" t="n">
        <f aca="false">DATE(YEAR(C258),MONTH(C258)+1,DAY(C258))</f>
        <v>51441</v>
      </c>
      <c r="D259" s="383" t="n">
        <f aca="false">IFERROR(IF(R259*$D$4/100/12/(1-(1+$D$4/100/12)^(-Q259))&lt;G258,ROUNDUP(R259*$D$4/100/12/(1-(1+$D$4/100/12)^(-Q259)),0),G258+F259),0)</f>
        <v>0</v>
      </c>
      <c r="E259" s="384" t="n">
        <f aca="false">D259-F259</f>
        <v>0</v>
      </c>
      <c r="F259" s="384" t="n">
        <f aca="false">G258*$D$4*(C259-C258)/(DATE(YEAR(C259)+1,1,1)-DATE(YEAR(C259),1,1))/100</f>
        <v>0</v>
      </c>
      <c r="G259" s="385" t="n">
        <f aca="false">G258-E259-L259-M259</f>
        <v>0</v>
      </c>
      <c r="H259" s="386" t="n">
        <f aca="false">IFERROR(I259+J259,0)</f>
        <v>0</v>
      </c>
      <c r="I259" s="384" t="n">
        <f aca="false">IFERROR(IF($D$3/$D$5&lt;K258,$D$3/$D$5,K258),0)</f>
        <v>0</v>
      </c>
      <c r="J259" s="384" t="n">
        <f aca="false">K258*$D$4/12/100</f>
        <v>0</v>
      </c>
      <c r="K259" s="387" t="n">
        <f aca="false">K258-I259-L259-M259</f>
        <v>0</v>
      </c>
      <c r="L259" s="388"/>
      <c r="M259" s="389"/>
      <c r="N259" s="409"/>
      <c r="O259" s="409"/>
      <c r="P259" s="391" t="n">
        <f aca="false">IF(ISBLANK(L258),VALUE(P258),ROW(L258))</f>
        <v>10</v>
      </c>
      <c r="Q259" s="314" t="n">
        <f aca="false">Q258+P258-P259</f>
        <v>12</v>
      </c>
      <c r="R259" s="314" t="n">
        <f aca="false">INDEX(G:G,P259,1)</f>
        <v>69000</v>
      </c>
      <c r="S259" s="312"/>
    </row>
    <row r="260" s="379" customFormat="true" ht="14.9" hidden="false" customHeight="false" outlineLevel="0" collapsed="false">
      <c r="A260" s="380" t="n">
        <v>250</v>
      </c>
      <c r="B260" s="381" t="str">
        <f aca="false">CONCATENATE(INT((A260-1)/12)+1,"-й год ",A260-1-INT((A260-1)/12)*12+1,"-й мес")</f>
        <v>21-й год 10-й мес</v>
      </c>
      <c r="C260" s="382" t="n">
        <f aca="false">DATE(YEAR(C259),MONTH(C259)+1,DAY(C259))</f>
        <v>51471</v>
      </c>
      <c r="D260" s="383" t="n">
        <f aca="false">IFERROR(IF(R260*$D$4/100/12/(1-(1+$D$4/100/12)^(-Q260))&lt;G259,ROUNDUP(R260*$D$4/100/12/(1-(1+$D$4/100/12)^(-Q260)),0),G259+F260),0)</f>
        <v>0</v>
      </c>
      <c r="E260" s="384" t="n">
        <f aca="false">D260-F260</f>
        <v>0</v>
      </c>
      <c r="F260" s="384" t="n">
        <f aca="false">G259*$D$4*(C260-C259)/(DATE(YEAR(C260)+1,1,1)-DATE(YEAR(C260),1,1))/100</f>
        <v>0</v>
      </c>
      <c r="G260" s="385" t="n">
        <f aca="false">G259-E260-L260-M260</f>
        <v>0</v>
      </c>
      <c r="H260" s="386" t="n">
        <f aca="false">IFERROR(I260+J260,0)</f>
        <v>0</v>
      </c>
      <c r="I260" s="384" t="n">
        <f aca="false">IFERROR(IF($D$3/$D$5&lt;K259,$D$3/$D$5,K259),0)</f>
        <v>0</v>
      </c>
      <c r="J260" s="384" t="n">
        <f aca="false">K259*$D$4/12/100</f>
        <v>0</v>
      </c>
      <c r="K260" s="387" t="n">
        <f aca="false">K259-I260-L260-M260</f>
        <v>0</v>
      </c>
      <c r="L260" s="388"/>
      <c r="M260" s="389"/>
      <c r="N260" s="409"/>
      <c r="O260" s="409"/>
      <c r="P260" s="391" t="n">
        <f aca="false">IF(ISBLANK(L259),VALUE(P259),ROW(L259))</f>
        <v>10</v>
      </c>
      <c r="Q260" s="314" t="n">
        <f aca="false">Q259+P259-P260</f>
        <v>12</v>
      </c>
      <c r="R260" s="314" t="n">
        <f aca="false">INDEX(G:G,P260,1)</f>
        <v>69000</v>
      </c>
      <c r="S260" s="312"/>
    </row>
    <row r="261" s="379" customFormat="true" ht="14.9" hidden="false" customHeight="false" outlineLevel="0" collapsed="false">
      <c r="A261" s="380" t="n">
        <v>251</v>
      </c>
      <c r="B261" s="381" t="str">
        <f aca="false">CONCATENATE(INT((A261-1)/12)+1,"-й год ",A261-1-INT((A261-1)/12)*12+1,"-й мес")</f>
        <v>21-й год 11-й мес</v>
      </c>
      <c r="C261" s="382" t="n">
        <f aca="false">DATE(YEAR(C260),MONTH(C260)+1,DAY(C260))</f>
        <v>51502</v>
      </c>
      <c r="D261" s="383" t="n">
        <f aca="false">IFERROR(IF(R261*$D$4/100/12/(1-(1+$D$4/100/12)^(-Q261))&lt;G260,ROUNDUP(R261*$D$4/100/12/(1-(1+$D$4/100/12)^(-Q261)),0),G260+F261),0)</f>
        <v>0</v>
      </c>
      <c r="E261" s="384" t="n">
        <f aca="false">D261-F261</f>
        <v>0</v>
      </c>
      <c r="F261" s="384" t="n">
        <f aca="false">G260*$D$4*(C261-C260)/(DATE(YEAR(C261)+1,1,1)-DATE(YEAR(C261),1,1))/100</f>
        <v>0</v>
      </c>
      <c r="G261" s="385" t="n">
        <f aca="false">G260-E261-L261-M261</f>
        <v>0</v>
      </c>
      <c r="H261" s="386" t="n">
        <f aca="false">IFERROR(I261+J261,0)</f>
        <v>0</v>
      </c>
      <c r="I261" s="384" t="n">
        <f aca="false">IFERROR(IF($D$3/$D$5&lt;K260,$D$3/$D$5,K260),0)</f>
        <v>0</v>
      </c>
      <c r="J261" s="384" t="n">
        <f aca="false">K260*$D$4/12/100</f>
        <v>0</v>
      </c>
      <c r="K261" s="387" t="n">
        <f aca="false">K260-I261-L261-M261</f>
        <v>0</v>
      </c>
      <c r="L261" s="388"/>
      <c r="M261" s="389"/>
      <c r="N261" s="409"/>
      <c r="O261" s="409"/>
      <c r="P261" s="391" t="n">
        <f aca="false">IF(ISBLANK(L260),VALUE(P260),ROW(L260))</f>
        <v>10</v>
      </c>
      <c r="Q261" s="314" t="n">
        <f aca="false">Q260+P260-P261</f>
        <v>12</v>
      </c>
      <c r="R261" s="314" t="n">
        <f aca="false">INDEX(G:G,P261,1)</f>
        <v>69000</v>
      </c>
      <c r="S261" s="312"/>
    </row>
    <row r="262" s="379" customFormat="true" ht="14.9" hidden="false" customHeight="false" outlineLevel="0" collapsed="false">
      <c r="A262" s="380" t="n">
        <v>252</v>
      </c>
      <c r="B262" s="392" t="str">
        <f aca="false">CONCATENATE(INT((A262-1)/12)+1,"-й год ",A262-1-INT((A262-1)/12)*12+1,"-й мес")</f>
        <v>21-й год 12-й мес</v>
      </c>
      <c r="C262" s="393" t="n">
        <f aca="false">DATE(YEAR(C261),MONTH(C261)+1,DAY(C261))</f>
        <v>51533</v>
      </c>
      <c r="D262" s="394" t="n">
        <f aca="false">IFERROR(IF(R262*$D$4/100/12/(1-(1+$D$4/100/12)^(-Q262))&lt;G261,ROUNDUP(R262*$D$4/100/12/(1-(1+$D$4/100/12)^(-Q262)),0),G261+F262),0)</f>
        <v>0</v>
      </c>
      <c r="E262" s="395" t="n">
        <f aca="false">D262-F262</f>
        <v>0</v>
      </c>
      <c r="F262" s="395" t="n">
        <f aca="false">G261*$D$4*(C262-C261)/(DATE(YEAR(C262)+1,1,1)-DATE(YEAR(C262),1,1))/100</f>
        <v>0</v>
      </c>
      <c r="G262" s="385" t="n">
        <f aca="false">G261-E262-L262-M262</f>
        <v>0</v>
      </c>
      <c r="H262" s="386" t="n">
        <f aca="false">IFERROR(I262+J262,0)</f>
        <v>0</v>
      </c>
      <c r="I262" s="384" t="n">
        <f aca="false">IFERROR(IF($D$3/$D$5&lt;K261,$D$3/$D$5,K261),0)</f>
        <v>0</v>
      </c>
      <c r="J262" s="384" t="n">
        <f aca="false">K261*$D$4/12/100</f>
        <v>0</v>
      </c>
      <c r="K262" s="387" t="n">
        <f aca="false">K261-I262-L262-M262</f>
        <v>0</v>
      </c>
      <c r="L262" s="388"/>
      <c r="M262" s="389"/>
      <c r="N262" s="409"/>
      <c r="O262" s="409"/>
      <c r="P262" s="391" t="n">
        <f aca="false">IF(ISBLANK(L261),VALUE(P261),ROW(L261))</f>
        <v>10</v>
      </c>
      <c r="Q262" s="314" t="n">
        <f aca="false">Q261+P261-P262</f>
        <v>12</v>
      </c>
      <c r="R262" s="314" t="n">
        <f aca="false">INDEX(G:G,P262,1)</f>
        <v>69000</v>
      </c>
      <c r="S262" s="312"/>
    </row>
    <row r="263" s="379" customFormat="true" ht="14.9" hidden="false" customHeight="false" outlineLevel="0" collapsed="false">
      <c r="A263" s="396" t="n">
        <v>253</v>
      </c>
      <c r="B263" s="381" t="str">
        <f aca="false">CONCATENATE(INT((A263-1)/12)+1,"-й год ",A263-1-INT((A263-1)/12)*12+1,"-й мес")</f>
        <v>22-й год 1-й мес</v>
      </c>
      <c r="C263" s="382" t="n">
        <f aca="false">DATE(YEAR(C262),MONTH(C262)+1,DAY(C262))</f>
        <v>51561</v>
      </c>
      <c r="D263" s="383" t="n">
        <f aca="false">IFERROR(IF(R263*$D$4/100/12/(1-(1+$D$4/100/12)^(-Q263))&lt;G262,ROUNDUP(R263*$D$4/100/12/(1-(1+$D$4/100/12)^(-Q263)),0),G262+F263),0)</f>
        <v>0</v>
      </c>
      <c r="E263" s="384" t="n">
        <f aca="false">D263-F263</f>
        <v>0</v>
      </c>
      <c r="F263" s="384" t="n">
        <f aca="false">G262*$D$4*(C263-C262)/(DATE(YEAR(C263)+1,1,1)-DATE(YEAR(C263),1,1))/100</f>
        <v>0</v>
      </c>
      <c r="G263" s="397" t="n">
        <f aca="false">G262-E263-L263-M263</f>
        <v>0</v>
      </c>
      <c r="H263" s="398" t="n">
        <f aca="false">IFERROR(I263+J263,0)</f>
        <v>0</v>
      </c>
      <c r="I263" s="399" t="n">
        <f aca="false">IFERROR(IF($D$3/$D$5&lt;K262,$D$3/$D$5,K262),0)</f>
        <v>0</v>
      </c>
      <c r="J263" s="399" t="n">
        <f aca="false">K262*$D$4/12/100</f>
        <v>0</v>
      </c>
      <c r="K263" s="400" t="n">
        <f aca="false">K262-I263-L263-M263</f>
        <v>0</v>
      </c>
      <c r="L263" s="401"/>
      <c r="M263" s="402"/>
      <c r="N263" s="409"/>
      <c r="O263" s="409"/>
      <c r="P263" s="391" t="n">
        <f aca="false">IF(ISBLANK(L262),VALUE(P262),ROW(L262))</f>
        <v>10</v>
      </c>
      <c r="Q263" s="314" t="n">
        <f aca="false">Q262+P262-P263</f>
        <v>12</v>
      </c>
      <c r="R263" s="314" t="n">
        <f aca="false">INDEX(G:G,P263,1)</f>
        <v>69000</v>
      </c>
      <c r="S263" s="312"/>
    </row>
    <row r="264" s="379" customFormat="true" ht="14.9" hidden="false" customHeight="false" outlineLevel="0" collapsed="false">
      <c r="A264" s="403" t="n">
        <v>254</v>
      </c>
      <c r="B264" s="381" t="str">
        <f aca="false">CONCATENATE(INT((A264-1)/12)+1,"-й год ",A264-1-INT((A264-1)/12)*12+1,"-й мес")</f>
        <v>22-й год 2-й мес</v>
      </c>
      <c r="C264" s="382" t="n">
        <f aca="false">DATE(YEAR(C263),MONTH(C263)+1,DAY(C263))</f>
        <v>51592</v>
      </c>
      <c r="D264" s="383" t="n">
        <f aca="false">IFERROR(IF(R264*$D$4/100/12/(1-(1+$D$4/100/12)^(-Q264))&lt;G263,ROUNDUP(R264*$D$4/100/12/(1-(1+$D$4/100/12)^(-Q264)),0),G263+F264),0)</f>
        <v>0</v>
      </c>
      <c r="E264" s="384" t="n">
        <f aca="false">D264-F264</f>
        <v>0</v>
      </c>
      <c r="F264" s="384" t="n">
        <f aca="false">G263*$D$4*(C264-C263)/(DATE(YEAR(C264)+1,1,1)-DATE(YEAR(C264),1,1))/100</f>
        <v>0</v>
      </c>
      <c r="G264" s="385" t="n">
        <f aca="false">G263-E264-L264-M264</f>
        <v>0</v>
      </c>
      <c r="H264" s="386" t="n">
        <f aca="false">IFERROR(I264+J264,0)</f>
        <v>0</v>
      </c>
      <c r="I264" s="384" t="n">
        <f aca="false">IFERROR(IF($D$3/$D$5&lt;K263,$D$3/$D$5,K263),0)</f>
        <v>0</v>
      </c>
      <c r="J264" s="384" t="n">
        <f aca="false">K263*$D$4/12/100</f>
        <v>0</v>
      </c>
      <c r="K264" s="387" t="n">
        <f aca="false">K263-I264-L264-M264</f>
        <v>0</v>
      </c>
      <c r="L264" s="388"/>
      <c r="M264" s="389"/>
      <c r="N264" s="409"/>
      <c r="O264" s="409"/>
      <c r="P264" s="391" t="n">
        <f aca="false">IF(ISBLANK(L263),VALUE(P263),ROW(L263))</f>
        <v>10</v>
      </c>
      <c r="Q264" s="314" t="n">
        <f aca="false">Q263+P263-P264</f>
        <v>12</v>
      </c>
      <c r="R264" s="314" t="n">
        <f aca="false">INDEX(G:G,P264,1)</f>
        <v>69000</v>
      </c>
      <c r="S264" s="312"/>
    </row>
    <row r="265" s="379" customFormat="true" ht="14.9" hidden="false" customHeight="false" outlineLevel="0" collapsed="false">
      <c r="A265" s="403" t="n">
        <v>255</v>
      </c>
      <c r="B265" s="381" t="str">
        <f aca="false">CONCATENATE(INT((A265-1)/12)+1,"-й год ",A265-1-INT((A265-1)/12)*12+1,"-й мес")</f>
        <v>22-й год 3-й мес</v>
      </c>
      <c r="C265" s="382" t="n">
        <f aca="false">DATE(YEAR(C264),MONTH(C264)+1,DAY(C264))</f>
        <v>51622</v>
      </c>
      <c r="D265" s="383" t="n">
        <f aca="false">IFERROR(IF(R265*$D$4/100/12/(1-(1+$D$4/100/12)^(-Q265))&lt;G264,ROUNDUP(R265*$D$4/100/12/(1-(1+$D$4/100/12)^(-Q265)),0),G264+F265),0)</f>
        <v>0</v>
      </c>
      <c r="E265" s="384" t="n">
        <f aca="false">D265-F265</f>
        <v>0</v>
      </c>
      <c r="F265" s="384" t="n">
        <f aca="false">G264*$D$4*(C265-C264)/(DATE(YEAR(C265)+1,1,1)-DATE(YEAR(C265),1,1))/100</f>
        <v>0</v>
      </c>
      <c r="G265" s="385" t="n">
        <f aca="false">G264-E265-L265-M265</f>
        <v>0</v>
      </c>
      <c r="H265" s="386" t="n">
        <f aca="false">IFERROR(I265+J265,0)</f>
        <v>0</v>
      </c>
      <c r="I265" s="384" t="n">
        <f aca="false">IFERROR(IF($D$3/$D$5&lt;K264,$D$3/$D$5,K264),0)</f>
        <v>0</v>
      </c>
      <c r="J265" s="384" t="n">
        <f aca="false">K264*$D$4/12/100</f>
        <v>0</v>
      </c>
      <c r="K265" s="387" t="n">
        <f aca="false">K264-I265-L265-M265</f>
        <v>0</v>
      </c>
      <c r="L265" s="388"/>
      <c r="M265" s="389"/>
      <c r="N265" s="409"/>
      <c r="O265" s="409"/>
      <c r="P265" s="391" t="n">
        <f aca="false">IF(ISBLANK(L264),VALUE(P264),ROW(L264))</f>
        <v>10</v>
      </c>
      <c r="Q265" s="314" t="n">
        <f aca="false">Q264+P264-P265</f>
        <v>12</v>
      </c>
      <c r="R265" s="314" t="n">
        <f aca="false">INDEX(G:G,P265,1)</f>
        <v>69000</v>
      </c>
      <c r="S265" s="312"/>
    </row>
    <row r="266" s="379" customFormat="true" ht="14.9" hidden="false" customHeight="false" outlineLevel="0" collapsed="false">
      <c r="A266" s="403" t="n">
        <v>256</v>
      </c>
      <c r="B266" s="381" t="str">
        <f aca="false">CONCATENATE(INT((A266-1)/12)+1,"-й год ",A266-1-INT((A266-1)/12)*12+1,"-й мес")</f>
        <v>22-й год 4-й мес</v>
      </c>
      <c r="C266" s="382" t="n">
        <f aca="false">DATE(YEAR(C265),MONTH(C265)+1,DAY(C265))</f>
        <v>51653</v>
      </c>
      <c r="D266" s="383" t="n">
        <f aca="false">IFERROR(IF(R266*$D$4/100/12/(1-(1+$D$4/100/12)^(-Q266))&lt;G265,ROUNDUP(R266*$D$4/100/12/(1-(1+$D$4/100/12)^(-Q266)),0),G265+F266),0)</f>
        <v>0</v>
      </c>
      <c r="E266" s="384" t="n">
        <f aca="false">D266-F266</f>
        <v>0</v>
      </c>
      <c r="F266" s="384" t="n">
        <f aca="false">G265*$D$4*(C266-C265)/(DATE(YEAR(C266)+1,1,1)-DATE(YEAR(C266),1,1))/100</f>
        <v>0</v>
      </c>
      <c r="G266" s="385" t="n">
        <f aca="false">G265-E266-L266-M266</f>
        <v>0</v>
      </c>
      <c r="H266" s="386" t="n">
        <f aca="false">IFERROR(I266+J266,0)</f>
        <v>0</v>
      </c>
      <c r="I266" s="384" t="n">
        <f aca="false">IFERROR(IF($D$3/$D$5&lt;K265,$D$3/$D$5,K265),0)</f>
        <v>0</v>
      </c>
      <c r="J266" s="384" t="n">
        <f aca="false">K265*$D$4/12/100</f>
        <v>0</v>
      </c>
      <c r="K266" s="387" t="n">
        <f aca="false">K265-I266-L266-M266</f>
        <v>0</v>
      </c>
      <c r="L266" s="388"/>
      <c r="M266" s="389"/>
      <c r="N266" s="409"/>
      <c r="O266" s="409"/>
      <c r="P266" s="391" t="n">
        <f aca="false">IF(ISBLANK(L265),VALUE(P265),ROW(L265))</f>
        <v>10</v>
      </c>
      <c r="Q266" s="314" t="n">
        <f aca="false">Q265+P265-P266</f>
        <v>12</v>
      </c>
      <c r="R266" s="314" t="n">
        <f aca="false">INDEX(G:G,P266,1)</f>
        <v>69000</v>
      </c>
      <c r="S266" s="312"/>
    </row>
    <row r="267" s="379" customFormat="true" ht="14.9" hidden="false" customHeight="false" outlineLevel="0" collapsed="false">
      <c r="A267" s="403" t="n">
        <v>257</v>
      </c>
      <c r="B267" s="381" t="str">
        <f aca="false">CONCATENATE(INT((A267-1)/12)+1,"-й год ",A267-1-INT((A267-1)/12)*12+1,"-й мес")</f>
        <v>22-й год 5-й мес</v>
      </c>
      <c r="C267" s="382" t="n">
        <f aca="false">DATE(YEAR(C266),MONTH(C266)+1,DAY(C266))</f>
        <v>51683</v>
      </c>
      <c r="D267" s="383" t="n">
        <f aca="false">IFERROR(IF(R267*$D$4/100/12/(1-(1+$D$4/100/12)^(-Q267))&lt;G266,ROUNDUP(R267*$D$4/100/12/(1-(1+$D$4/100/12)^(-Q267)),0),G266+F267),0)</f>
        <v>0</v>
      </c>
      <c r="E267" s="384" t="n">
        <f aca="false">D267-F267</f>
        <v>0</v>
      </c>
      <c r="F267" s="384" t="n">
        <f aca="false">G266*$D$4*(C267-C266)/(DATE(YEAR(C267)+1,1,1)-DATE(YEAR(C267),1,1))/100</f>
        <v>0</v>
      </c>
      <c r="G267" s="385" t="n">
        <f aca="false">G266-E267-L267-M267</f>
        <v>0</v>
      </c>
      <c r="H267" s="386" t="n">
        <f aca="false">IFERROR(I267+J267,0)</f>
        <v>0</v>
      </c>
      <c r="I267" s="384" t="n">
        <f aca="false">IFERROR(IF($D$3/$D$5&lt;K266,$D$3/$D$5,K266),0)</f>
        <v>0</v>
      </c>
      <c r="J267" s="384" t="n">
        <f aca="false">K266*$D$4/12/100</f>
        <v>0</v>
      </c>
      <c r="K267" s="387" t="n">
        <f aca="false">K266-I267-L267-M267</f>
        <v>0</v>
      </c>
      <c r="L267" s="388"/>
      <c r="M267" s="389"/>
      <c r="N267" s="409"/>
      <c r="O267" s="409"/>
      <c r="P267" s="391" t="n">
        <f aca="false">IF(ISBLANK(L266),VALUE(P266),ROW(L266))</f>
        <v>10</v>
      </c>
      <c r="Q267" s="314" t="n">
        <f aca="false">Q266+P266-P267</f>
        <v>12</v>
      </c>
      <c r="R267" s="314" t="n">
        <f aca="false">INDEX(G:G,P267,1)</f>
        <v>69000</v>
      </c>
      <c r="S267" s="312"/>
    </row>
    <row r="268" s="379" customFormat="true" ht="14.9" hidden="false" customHeight="false" outlineLevel="0" collapsed="false">
      <c r="A268" s="403" t="n">
        <v>258</v>
      </c>
      <c r="B268" s="381" t="str">
        <f aca="false">CONCATENATE(INT((A268-1)/12)+1,"-й год ",A268-1-INT((A268-1)/12)*12+1,"-й мес")</f>
        <v>22-й год 6-й мес</v>
      </c>
      <c r="C268" s="382" t="n">
        <f aca="false">DATE(YEAR(C267),MONTH(C267)+1,DAY(C267))</f>
        <v>51714</v>
      </c>
      <c r="D268" s="383" t="n">
        <f aca="false">IFERROR(IF(R268*$D$4/100/12/(1-(1+$D$4/100/12)^(-Q268))&lt;G267,ROUNDUP(R268*$D$4/100/12/(1-(1+$D$4/100/12)^(-Q268)),0),G267+F268),0)</f>
        <v>0</v>
      </c>
      <c r="E268" s="384" t="n">
        <f aca="false">D268-F268</f>
        <v>0</v>
      </c>
      <c r="F268" s="384" t="n">
        <f aca="false">G267*$D$4*(C268-C267)/(DATE(YEAR(C268)+1,1,1)-DATE(YEAR(C268),1,1))/100</f>
        <v>0</v>
      </c>
      <c r="G268" s="385" t="n">
        <f aca="false">G267-E268-L268-M268</f>
        <v>0</v>
      </c>
      <c r="H268" s="386" t="n">
        <f aca="false">IFERROR(I268+J268,0)</f>
        <v>0</v>
      </c>
      <c r="I268" s="384" t="n">
        <f aca="false">IFERROR(IF($D$3/$D$5&lt;K267,$D$3/$D$5,K267),0)</f>
        <v>0</v>
      </c>
      <c r="J268" s="384" t="n">
        <f aca="false">K267*$D$4/12/100</f>
        <v>0</v>
      </c>
      <c r="K268" s="387" t="n">
        <f aca="false">K267-I268-L268-M268</f>
        <v>0</v>
      </c>
      <c r="L268" s="388"/>
      <c r="M268" s="389"/>
      <c r="N268" s="409"/>
      <c r="O268" s="409"/>
      <c r="P268" s="391" t="n">
        <f aca="false">IF(ISBLANK(L267),VALUE(P267),ROW(L267))</f>
        <v>10</v>
      </c>
      <c r="Q268" s="314" t="n">
        <f aca="false">Q267+P267-P268</f>
        <v>12</v>
      </c>
      <c r="R268" s="314" t="n">
        <f aca="false">INDEX(G:G,P268,1)</f>
        <v>69000</v>
      </c>
      <c r="S268" s="312"/>
    </row>
    <row r="269" s="379" customFormat="true" ht="14.9" hidden="false" customHeight="false" outlineLevel="0" collapsed="false">
      <c r="A269" s="403" t="n">
        <v>259</v>
      </c>
      <c r="B269" s="381" t="str">
        <f aca="false">CONCATENATE(INT((A269-1)/12)+1,"-й год ",A269-1-INT((A269-1)/12)*12+1,"-й мес")</f>
        <v>22-й год 7-й мес</v>
      </c>
      <c r="C269" s="382" t="n">
        <f aca="false">DATE(YEAR(C268),MONTH(C268)+1,DAY(C268))</f>
        <v>51745</v>
      </c>
      <c r="D269" s="383" t="n">
        <f aca="false">IFERROR(IF(R269*$D$4/100/12/(1-(1+$D$4/100/12)^(-Q269))&lt;G268,ROUNDUP(R269*$D$4/100/12/(1-(1+$D$4/100/12)^(-Q269)),0),G268+F269),0)</f>
        <v>0</v>
      </c>
      <c r="E269" s="384" t="n">
        <f aca="false">D269-F269</f>
        <v>0</v>
      </c>
      <c r="F269" s="384" t="n">
        <f aca="false">G268*$D$4*(C269-C268)/(DATE(YEAR(C269)+1,1,1)-DATE(YEAR(C269),1,1))/100</f>
        <v>0</v>
      </c>
      <c r="G269" s="385" t="n">
        <f aca="false">G268-E269-L269-M269</f>
        <v>0</v>
      </c>
      <c r="H269" s="386" t="n">
        <f aca="false">IFERROR(I269+J269,0)</f>
        <v>0</v>
      </c>
      <c r="I269" s="384" t="n">
        <f aca="false">IFERROR(IF($D$3/$D$5&lt;K268,$D$3/$D$5,K268),0)</f>
        <v>0</v>
      </c>
      <c r="J269" s="384" t="n">
        <f aca="false">K268*$D$4/12/100</f>
        <v>0</v>
      </c>
      <c r="K269" s="387" t="n">
        <f aca="false">K268-I269-L269-M269</f>
        <v>0</v>
      </c>
      <c r="L269" s="388"/>
      <c r="M269" s="389"/>
      <c r="N269" s="409"/>
      <c r="O269" s="409"/>
      <c r="P269" s="391" t="n">
        <f aca="false">IF(ISBLANK(L268),VALUE(P268),ROW(L268))</f>
        <v>10</v>
      </c>
      <c r="Q269" s="314" t="n">
        <f aca="false">Q268+P268-P269</f>
        <v>12</v>
      </c>
      <c r="R269" s="314" t="n">
        <f aca="false">INDEX(G:G,P269,1)</f>
        <v>69000</v>
      </c>
      <c r="S269" s="312"/>
    </row>
    <row r="270" s="379" customFormat="true" ht="14.9" hidden="false" customHeight="false" outlineLevel="0" collapsed="false">
      <c r="A270" s="403" t="n">
        <v>260</v>
      </c>
      <c r="B270" s="381" t="str">
        <f aca="false">CONCATENATE(INT((A270-1)/12)+1,"-й год ",A270-1-INT((A270-1)/12)*12+1,"-й мес")</f>
        <v>22-й год 8-й мес</v>
      </c>
      <c r="C270" s="382" t="n">
        <f aca="false">DATE(YEAR(C269),MONTH(C269)+1,DAY(C269))</f>
        <v>51775</v>
      </c>
      <c r="D270" s="383" t="n">
        <f aca="false">IFERROR(IF(R270*$D$4/100/12/(1-(1+$D$4/100/12)^(-Q270))&lt;G269,ROUNDUP(R270*$D$4/100/12/(1-(1+$D$4/100/12)^(-Q270)),0),G269+F270),0)</f>
        <v>0</v>
      </c>
      <c r="E270" s="384" t="n">
        <f aca="false">D270-F270</f>
        <v>0</v>
      </c>
      <c r="F270" s="384" t="n">
        <f aca="false">G269*$D$4*(C270-C269)/(DATE(YEAR(C270)+1,1,1)-DATE(YEAR(C270),1,1))/100</f>
        <v>0</v>
      </c>
      <c r="G270" s="385" t="n">
        <f aca="false">G269-E270-L270-M270</f>
        <v>0</v>
      </c>
      <c r="H270" s="386" t="n">
        <f aca="false">IFERROR(I270+J270,0)</f>
        <v>0</v>
      </c>
      <c r="I270" s="384" t="n">
        <f aca="false">IFERROR(IF($D$3/$D$5&lt;K269,$D$3/$D$5,K269),0)</f>
        <v>0</v>
      </c>
      <c r="J270" s="384" t="n">
        <f aca="false">K269*$D$4/12/100</f>
        <v>0</v>
      </c>
      <c r="K270" s="387" t="n">
        <f aca="false">K269-I270-L270-M270</f>
        <v>0</v>
      </c>
      <c r="L270" s="388"/>
      <c r="M270" s="389"/>
      <c r="N270" s="409"/>
      <c r="O270" s="409"/>
      <c r="P270" s="391" t="n">
        <f aca="false">IF(ISBLANK(L269),VALUE(P269),ROW(L269))</f>
        <v>10</v>
      </c>
      <c r="Q270" s="314" t="n">
        <f aca="false">Q269+P269-P270</f>
        <v>12</v>
      </c>
      <c r="R270" s="314" t="n">
        <f aca="false">INDEX(G:G,P270,1)</f>
        <v>69000</v>
      </c>
      <c r="S270" s="312"/>
    </row>
    <row r="271" s="379" customFormat="true" ht="14.9" hidden="false" customHeight="false" outlineLevel="0" collapsed="false">
      <c r="A271" s="403" t="n">
        <v>261</v>
      </c>
      <c r="B271" s="381" t="str">
        <f aca="false">CONCATENATE(INT((A271-1)/12)+1,"-й год ",A271-1-INT((A271-1)/12)*12+1,"-й мес")</f>
        <v>22-й год 9-й мес</v>
      </c>
      <c r="C271" s="382" t="n">
        <f aca="false">DATE(YEAR(C270),MONTH(C270)+1,DAY(C270))</f>
        <v>51806</v>
      </c>
      <c r="D271" s="383" t="n">
        <f aca="false">IFERROR(IF(R271*$D$4/100/12/(1-(1+$D$4/100/12)^(-Q271))&lt;G270,ROUNDUP(R271*$D$4/100/12/(1-(1+$D$4/100/12)^(-Q271)),0),G270+F271),0)</f>
        <v>0</v>
      </c>
      <c r="E271" s="384" t="n">
        <f aca="false">D271-F271</f>
        <v>0</v>
      </c>
      <c r="F271" s="384" t="n">
        <f aca="false">G270*$D$4*(C271-C270)/(DATE(YEAR(C271)+1,1,1)-DATE(YEAR(C271),1,1))/100</f>
        <v>0</v>
      </c>
      <c r="G271" s="385" t="n">
        <f aca="false">G270-E271-L271-M271</f>
        <v>0</v>
      </c>
      <c r="H271" s="386" t="n">
        <f aca="false">IFERROR(I271+J271,0)</f>
        <v>0</v>
      </c>
      <c r="I271" s="384" t="n">
        <f aca="false">IFERROR(IF($D$3/$D$5&lt;K270,$D$3/$D$5,K270),0)</f>
        <v>0</v>
      </c>
      <c r="J271" s="384" t="n">
        <f aca="false">K270*$D$4/12/100</f>
        <v>0</v>
      </c>
      <c r="K271" s="387" t="n">
        <f aca="false">K270-I271-L271-M271</f>
        <v>0</v>
      </c>
      <c r="L271" s="388"/>
      <c r="M271" s="389"/>
      <c r="N271" s="409"/>
      <c r="O271" s="409"/>
      <c r="P271" s="391" t="n">
        <f aca="false">IF(ISBLANK(L270),VALUE(P270),ROW(L270))</f>
        <v>10</v>
      </c>
      <c r="Q271" s="314" t="n">
        <f aca="false">Q270+P270-P271</f>
        <v>12</v>
      </c>
      <c r="R271" s="314" t="n">
        <f aca="false">INDEX(G:G,P271,1)</f>
        <v>69000</v>
      </c>
      <c r="S271" s="312"/>
    </row>
    <row r="272" s="379" customFormat="true" ht="14.9" hidden="false" customHeight="false" outlineLevel="0" collapsed="false">
      <c r="A272" s="403" t="n">
        <v>262</v>
      </c>
      <c r="B272" s="381" t="str">
        <f aca="false">CONCATENATE(INT((A272-1)/12)+1,"-й год ",A272-1-INT((A272-1)/12)*12+1,"-й мес")</f>
        <v>22-й год 10-й мес</v>
      </c>
      <c r="C272" s="382" t="n">
        <f aca="false">DATE(YEAR(C271),MONTH(C271)+1,DAY(C271))</f>
        <v>51836</v>
      </c>
      <c r="D272" s="383" t="n">
        <f aca="false">IFERROR(IF(R272*$D$4/100/12/(1-(1+$D$4/100/12)^(-Q272))&lt;G271,ROUNDUP(R272*$D$4/100/12/(1-(1+$D$4/100/12)^(-Q272)),0),G271+F272),0)</f>
        <v>0</v>
      </c>
      <c r="E272" s="384" t="n">
        <f aca="false">D272-F272</f>
        <v>0</v>
      </c>
      <c r="F272" s="384" t="n">
        <f aca="false">G271*$D$4*(C272-C271)/(DATE(YEAR(C272)+1,1,1)-DATE(YEAR(C272),1,1))/100</f>
        <v>0</v>
      </c>
      <c r="G272" s="385" t="n">
        <f aca="false">G271-E272-L272-M272</f>
        <v>0</v>
      </c>
      <c r="H272" s="386" t="n">
        <f aca="false">IFERROR(I272+J272,0)</f>
        <v>0</v>
      </c>
      <c r="I272" s="384" t="n">
        <f aca="false">IFERROR(IF($D$3/$D$5&lt;K271,$D$3/$D$5,K271),0)</f>
        <v>0</v>
      </c>
      <c r="J272" s="384" t="n">
        <f aca="false">K271*$D$4/12/100</f>
        <v>0</v>
      </c>
      <c r="K272" s="387" t="n">
        <f aca="false">K271-I272-L272-M272</f>
        <v>0</v>
      </c>
      <c r="L272" s="388"/>
      <c r="M272" s="389"/>
      <c r="N272" s="409"/>
      <c r="O272" s="409"/>
      <c r="P272" s="391" t="n">
        <f aca="false">IF(ISBLANK(L271),VALUE(P271),ROW(L271))</f>
        <v>10</v>
      </c>
      <c r="Q272" s="314" t="n">
        <f aca="false">Q271+P271-P272</f>
        <v>12</v>
      </c>
      <c r="R272" s="314" t="n">
        <f aca="false">INDEX(G:G,P272,1)</f>
        <v>69000</v>
      </c>
      <c r="S272" s="312"/>
    </row>
    <row r="273" s="379" customFormat="true" ht="14.9" hidden="false" customHeight="false" outlineLevel="0" collapsed="false">
      <c r="A273" s="403" t="n">
        <v>263</v>
      </c>
      <c r="B273" s="381" t="str">
        <f aca="false">CONCATENATE(INT((A273-1)/12)+1,"-й год ",A273-1-INT((A273-1)/12)*12+1,"-й мес")</f>
        <v>22-й год 11-й мес</v>
      </c>
      <c r="C273" s="382" t="n">
        <f aca="false">DATE(YEAR(C272),MONTH(C272)+1,DAY(C272))</f>
        <v>51867</v>
      </c>
      <c r="D273" s="383" t="n">
        <f aca="false">IFERROR(IF(R273*$D$4/100/12/(1-(1+$D$4/100/12)^(-Q273))&lt;G272,ROUNDUP(R273*$D$4/100/12/(1-(1+$D$4/100/12)^(-Q273)),0),G272+F273),0)</f>
        <v>0</v>
      </c>
      <c r="E273" s="384" t="n">
        <f aca="false">D273-F273</f>
        <v>0</v>
      </c>
      <c r="F273" s="384" t="n">
        <f aca="false">G272*$D$4*(C273-C272)/(DATE(YEAR(C273)+1,1,1)-DATE(YEAR(C273),1,1))/100</f>
        <v>0</v>
      </c>
      <c r="G273" s="385" t="n">
        <f aca="false">G272-E273-L273-M273</f>
        <v>0</v>
      </c>
      <c r="H273" s="386" t="n">
        <f aca="false">IFERROR(I273+J273,0)</f>
        <v>0</v>
      </c>
      <c r="I273" s="384" t="n">
        <f aca="false">IFERROR(IF($D$3/$D$5&lt;K272,$D$3/$D$5,K272),0)</f>
        <v>0</v>
      </c>
      <c r="J273" s="384" t="n">
        <f aca="false">K272*$D$4/12/100</f>
        <v>0</v>
      </c>
      <c r="K273" s="387" t="n">
        <f aca="false">K272-I273-L273-M273</f>
        <v>0</v>
      </c>
      <c r="L273" s="388"/>
      <c r="M273" s="389"/>
      <c r="N273" s="409"/>
      <c r="O273" s="409"/>
      <c r="P273" s="391" t="n">
        <f aca="false">IF(ISBLANK(L272),VALUE(P272),ROW(L272))</f>
        <v>10</v>
      </c>
      <c r="Q273" s="314" t="n">
        <f aca="false">Q272+P272-P273</f>
        <v>12</v>
      </c>
      <c r="R273" s="314" t="n">
        <f aca="false">INDEX(G:G,P273,1)</f>
        <v>69000</v>
      </c>
      <c r="S273" s="312"/>
    </row>
    <row r="274" s="379" customFormat="true" ht="14.9" hidden="false" customHeight="false" outlineLevel="0" collapsed="false">
      <c r="A274" s="404" t="n">
        <v>264</v>
      </c>
      <c r="B274" s="392" t="str">
        <f aca="false">CONCATENATE(INT((A274-1)/12)+1,"-й год ",A274-1-INT((A274-1)/12)*12+1,"-й мес")</f>
        <v>22-й год 12-й мес</v>
      </c>
      <c r="C274" s="393" t="n">
        <f aca="false">DATE(YEAR(C273),MONTH(C273)+1,DAY(C273))</f>
        <v>51898</v>
      </c>
      <c r="D274" s="394" t="n">
        <f aca="false">IFERROR(IF(R274*$D$4/100/12/(1-(1+$D$4/100/12)^(-Q274))&lt;G273,ROUNDUP(R274*$D$4/100/12/(1-(1+$D$4/100/12)^(-Q274)),0),G273+F274),0)</f>
        <v>0</v>
      </c>
      <c r="E274" s="395" t="n">
        <f aca="false">D274-F274</f>
        <v>0</v>
      </c>
      <c r="F274" s="395" t="n">
        <f aca="false">G273*$D$4*(C274-C273)/(DATE(YEAR(C274)+1,1,1)-DATE(YEAR(C274),1,1))/100</f>
        <v>0</v>
      </c>
      <c r="G274" s="405" t="n">
        <f aca="false">G273-E274-L274-M274</f>
        <v>0</v>
      </c>
      <c r="H274" s="406" t="n">
        <f aca="false">IFERROR(I274+J274,0)</f>
        <v>0</v>
      </c>
      <c r="I274" s="395" t="n">
        <f aca="false">IFERROR(IF($D$3/$D$5&lt;K273,$D$3/$D$5,K273),0)</f>
        <v>0</v>
      </c>
      <c r="J274" s="395" t="n">
        <f aca="false">K273*$D$4/12/100</f>
        <v>0</v>
      </c>
      <c r="K274" s="407" t="n">
        <f aca="false">K273-I274-L274-M274</f>
        <v>0</v>
      </c>
      <c r="L274" s="408"/>
      <c r="M274" s="410"/>
      <c r="N274" s="409"/>
      <c r="O274" s="409"/>
      <c r="P274" s="391" t="n">
        <f aca="false">IF(ISBLANK(L273),VALUE(P273),ROW(L273))</f>
        <v>10</v>
      </c>
      <c r="Q274" s="314" t="n">
        <f aca="false">Q273+P273-P274</f>
        <v>12</v>
      </c>
      <c r="R274" s="314" t="n">
        <f aca="false">INDEX(G:G,P274,1)</f>
        <v>69000</v>
      </c>
      <c r="S274" s="312"/>
    </row>
    <row r="275" s="379" customFormat="true" ht="14.9" hidden="false" customHeight="false" outlineLevel="0" collapsed="false">
      <c r="A275" s="380" t="n">
        <v>265</v>
      </c>
      <c r="B275" s="381" t="str">
        <f aca="false">CONCATENATE(INT((A275-1)/12)+1,"-й год ",A275-1-INT((A275-1)/12)*12+1,"-й мес")</f>
        <v>23-й год 1-й мес</v>
      </c>
      <c r="C275" s="382" t="n">
        <f aca="false">DATE(YEAR(C274),MONTH(C274)+1,DAY(C274))</f>
        <v>51926</v>
      </c>
      <c r="D275" s="383" t="n">
        <f aca="false">IFERROR(IF(R275*$D$4/100/12/(1-(1+$D$4/100/12)^(-Q275))&lt;G274,ROUNDUP(R275*$D$4/100/12/(1-(1+$D$4/100/12)^(-Q275)),0),G274+F275),0)</f>
        <v>0</v>
      </c>
      <c r="E275" s="384" t="n">
        <f aca="false">D275-F275</f>
        <v>0</v>
      </c>
      <c r="F275" s="384" t="n">
        <f aca="false">G274*$D$4*(C275-C274)/(DATE(YEAR(C275)+1,1,1)-DATE(YEAR(C275),1,1))/100</f>
        <v>0</v>
      </c>
      <c r="G275" s="385" t="n">
        <f aca="false">G274-E275-L275-M275</f>
        <v>0</v>
      </c>
      <c r="H275" s="386" t="n">
        <f aca="false">IFERROR(I275+J275,0)</f>
        <v>0</v>
      </c>
      <c r="I275" s="384" t="n">
        <f aca="false">IFERROR(IF($D$3/$D$5&lt;K274,$D$3/$D$5,K274),0)</f>
        <v>0</v>
      </c>
      <c r="J275" s="384" t="n">
        <f aca="false">K274*$D$4/12/100</f>
        <v>0</v>
      </c>
      <c r="K275" s="387" t="n">
        <f aca="false">K274-I275-L275-M275</f>
        <v>0</v>
      </c>
      <c r="L275" s="388"/>
      <c r="M275" s="389"/>
      <c r="N275" s="409"/>
      <c r="O275" s="409"/>
      <c r="P275" s="391" t="n">
        <f aca="false">IF(ISBLANK(L274),VALUE(P274),ROW(L274))</f>
        <v>10</v>
      </c>
      <c r="Q275" s="314" t="n">
        <f aca="false">Q274+P274-P275</f>
        <v>12</v>
      </c>
      <c r="R275" s="314" t="n">
        <f aca="false">INDEX(G:G,P275,1)</f>
        <v>69000</v>
      </c>
      <c r="S275" s="312"/>
    </row>
    <row r="276" s="379" customFormat="true" ht="14.9" hidden="false" customHeight="false" outlineLevel="0" collapsed="false">
      <c r="A276" s="380" t="n">
        <v>266</v>
      </c>
      <c r="B276" s="381" t="str">
        <f aca="false">CONCATENATE(INT((A276-1)/12)+1,"-й год ",A276-1-INT((A276-1)/12)*12+1,"-й мес")</f>
        <v>23-й год 2-й мес</v>
      </c>
      <c r="C276" s="382" t="n">
        <f aca="false">DATE(YEAR(C275),MONTH(C275)+1,DAY(C275))</f>
        <v>51957</v>
      </c>
      <c r="D276" s="383" t="n">
        <f aca="false">IFERROR(IF(R276*$D$4/100/12/(1-(1+$D$4/100/12)^(-Q276))&lt;G275,ROUNDUP(R276*$D$4/100/12/(1-(1+$D$4/100/12)^(-Q276)),0),G275+F276),0)</f>
        <v>0</v>
      </c>
      <c r="E276" s="384" t="n">
        <f aca="false">D276-F276</f>
        <v>0</v>
      </c>
      <c r="F276" s="384" t="n">
        <f aca="false">G275*$D$4*(C276-C275)/(DATE(YEAR(C276)+1,1,1)-DATE(YEAR(C276),1,1))/100</f>
        <v>0</v>
      </c>
      <c r="G276" s="385" t="n">
        <f aca="false">G275-E276-L276-M276</f>
        <v>0</v>
      </c>
      <c r="H276" s="386" t="n">
        <f aca="false">IFERROR(I276+J276,0)</f>
        <v>0</v>
      </c>
      <c r="I276" s="384" t="n">
        <f aca="false">IFERROR(IF($D$3/$D$5&lt;K275,$D$3/$D$5,K275),0)</f>
        <v>0</v>
      </c>
      <c r="J276" s="384" t="n">
        <f aca="false">K275*$D$4/12/100</f>
        <v>0</v>
      </c>
      <c r="K276" s="387" t="n">
        <f aca="false">K275-I276-L276-M276</f>
        <v>0</v>
      </c>
      <c r="L276" s="388"/>
      <c r="M276" s="389"/>
      <c r="N276" s="409"/>
      <c r="O276" s="409"/>
      <c r="P276" s="391" t="n">
        <f aca="false">IF(ISBLANK(L275),VALUE(P275),ROW(L275))</f>
        <v>10</v>
      </c>
      <c r="Q276" s="314" t="n">
        <f aca="false">Q275+P275-P276</f>
        <v>12</v>
      </c>
      <c r="R276" s="314" t="n">
        <f aca="false">INDEX(G:G,P276,1)</f>
        <v>69000</v>
      </c>
      <c r="S276" s="312"/>
    </row>
    <row r="277" s="379" customFormat="true" ht="14.9" hidden="false" customHeight="false" outlineLevel="0" collapsed="false">
      <c r="A277" s="380" t="n">
        <v>267</v>
      </c>
      <c r="B277" s="381" t="str">
        <f aca="false">CONCATENATE(INT((A277-1)/12)+1,"-й год ",A277-1-INT((A277-1)/12)*12+1,"-й мес")</f>
        <v>23-й год 3-й мес</v>
      </c>
      <c r="C277" s="382" t="n">
        <f aca="false">DATE(YEAR(C276),MONTH(C276)+1,DAY(C276))</f>
        <v>51987</v>
      </c>
      <c r="D277" s="383" t="n">
        <f aca="false">IFERROR(IF(R277*$D$4/100/12/(1-(1+$D$4/100/12)^(-Q277))&lt;G276,ROUNDUP(R277*$D$4/100/12/(1-(1+$D$4/100/12)^(-Q277)),0),G276+F277),0)</f>
        <v>0</v>
      </c>
      <c r="E277" s="384" t="n">
        <f aca="false">D277-F277</f>
        <v>0</v>
      </c>
      <c r="F277" s="384" t="n">
        <f aca="false">G276*$D$4*(C277-C276)/(DATE(YEAR(C277)+1,1,1)-DATE(YEAR(C277),1,1))/100</f>
        <v>0</v>
      </c>
      <c r="G277" s="385" t="n">
        <f aca="false">G276-E277-L277-M277</f>
        <v>0</v>
      </c>
      <c r="H277" s="386" t="n">
        <f aca="false">IFERROR(I277+J277,0)</f>
        <v>0</v>
      </c>
      <c r="I277" s="384" t="n">
        <f aca="false">IFERROR(IF($D$3/$D$5&lt;K276,$D$3/$D$5,K276),0)</f>
        <v>0</v>
      </c>
      <c r="J277" s="384" t="n">
        <f aca="false">K276*$D$4/12/100</f>
        <v>0</v>
      </c>
      <c r="K277" s="387" t="n">
        <f aca="false">K276-I277-L277-M277</f>
        <v>0</v>
      </c>
      <c r="L277" s="388"/>
      <c r="M277" s="389"/>
      <c r="N277" s="409"/>
      <c r="O277" s="409"/>
      <c r="P277" s="391" t="n">
        <f aca="false">IF(ISBLANK(L276),VALUE(P276),ROW(L276))</f>
        <v>10</v>
      </c>
      <c r="Q277" s="314" t="n">
        <f aca="false">Q276+P276-P277</f>
        <v>12</v>
      </c>
      <c r="R277" s="314" t="n">
        <f aca="false">INDEX(G:G,P277,1)</f>
        <v>69000</v>
      </c>
      <c r="S277" s="312"/>
    </row>
    <row r="278" s="379" customFormat="true" ht="14.9" hidden="false" customHeight="false" outlineLevel="0" collapsed="false">
      <c r="A278" s="380" t="n">
        <v>268</v>
      </c>
      <c r="B278" s="381" t="str">
        <f aca="false">CONCATENATE(INT((A278-1)/12)+1,"-й год ",A278-1-INT((A278-1)/12)*12+1,"-й мес")</f>
        <v>23-й год 4-й мес</v>
      </c>
      <c r="C278" s="382" t="n">
        <f aca="false">DATE(YEAR(C277),MONTH(C277)+1,DAY(C277))</f>
        <v>52018</v>
      </c>
      <c r="D278" s="383" t="n">
        <f aca="false">IFERROR(IF(R278*$D$4/100/12/(1-(1+$D$4/100/12)^(-Q278))&lt;G277,ROUNDUP(R278*$D$4/100/12/(1-(1+$D$4/100/12)^(-Q278)),0),G277+F278),0)</f>
        <v>0</v>
      </c>
      <c r="E278" s="384" t="n">
        <f aca="false">D278-F278</f>
        <v>0</v>
      </c>
      <c r="F278" s="384" t="n">
        <f aca="false">G277*$D$4*(C278-C277)/(DATE(YEAR(C278)+1,1,1)-DATE(YEAR(C278),1,1))/100</f>
        <v>0</v>
      </c>
      <c r="G278" s="385" t="n">
        <f aca="false">G277-E278-L278-M278</f>
        <v>0</v>
      </c>
      <c r="H278" s="386" t="n">
        <f aca="false">IFERROR(I278+J278,0)</f>
        <v>0</v>
      </c>
      <c r="I278" s="384" t="n">
        <f aca="false">IFERROR(IF($D$3/$D$5&lt;K277,$D$3/$D$5,K277),0)</f>
        <v>0</v>
      </c>
      <c r="J278" s="384" t="n">
        <f aca="false">K277*$D$4/12/100</f>
        <v>0</v>
      </c>
      <c r="K278" s="387" t="n">
        <f aca="false">K277-I278-L278-M278</f>
        <v>0</v>
      </c>
      <c r="L278" s="388"/>
      <c r="M278" s="389"/>
      <c r="N278" s="409"/>
      <c r="O278" s="409"/>
      <c r="P278" s="391" t="n">
        <f aca="false">IF(ISBLANK(L277),VALUE(P277),ROW(L277))</f>
        <v>10</v>
      </c>
      <c r="Q278" s="314" t="n">
        <f aca="false">Q277+P277-P278</f>
        <v>12</v>
      </c>
      <c r="R278" s="314" t="n">
        <f aca="false">INDEX(G:G,P278,1)</f>
        <v>69000</v>
      </c>
      <c r="S278" s="312"/>
    </row>
    <row r="279" s="379" customFormat="true" ht="14.9" hidden="false" customHeight="false" outlineLevel="0" collapsed="false">
      <c r="A279" s="380" t="n">
        <v>269</v>
      </c>
      <c r="B279" s="381" t="str">
        <f aca="false">CONCATENATE(INT((A279-1)/12)+1,"-й год ",A279-1-INT((A279-1)/12)*12+1,"-й мес")</f>
        <v>23-й год 5-й мес</v>
      </c>
      <c r="C279" s="382" t="n">
        <f aca="false">DATE(YEAR(C278),MONTH(C278)+1,DAY(C278))</f>
        <v>52048</v>
      </c>
      <c r="D279" s="383" t="n">
        <f aca="false">IFERROR(IF(R279*$D$4/100/12/(1-(1+$D$4/100/12)^(-Q279))&lt;G278,ROUNDUP(R279*$D$4/100/12/(1-(1+$D$4/100/12)^(-Q279)),0),G278+F279),0)</f>
        <v>0</v>
      </c>
      <c r="E279" s="384" t="n">
        <f aca="false">D279-F279</f>
        <v>0</v>
      </c>
      <c r="F279" s="384" t="n">
        <f aca="false">G278*$D$4*(C279-C278)/(DATE(YEAR(C279)+1,1,1)-DATE(YEAR(C279),1,1))/100</f>
        <v>0</v>
      </c>
      <c r="G279" s="385" t="n">
        <f aca="false">G278-E279-L279-M279</f>
        <v>0</v>
      </c>
      <c r="H279" s="386" t="n">
        <f aca="false">IFERROR(I279+J279,0)</f>
        <v>0</v>
      </c>
      <c r="I279" s="384" t="n">
        <f aca="false">IFERROR(IF($D$3/$D$5&lt;K278,$D$3/$D$5,K278),0)</f>
        <v>0</v>
      </c>
      <c r="J279" s="384" t="n">
        <f aca="false">K278*$D$4/12/100</f>
        <v>0</v>
      </c>
      <c r="K279" s="387" t="n">
        <f aca="false">K278-I279-L279-M279</f>
        <v>0</v>
      </c>
      <c r="L279" s="388"/>
      <c r="M279" s="389"/>
      <c r="N279" s="409"/>
      <c r="O279" s="409"/>
      <c r="P279" s="391" t="n">
        <f aca="false">IF(ISBLANK(L278),VALUE(P278),ROW(L278))</f>
        <v>10</v>
      </c>
      <c r="Q279" s="314" t="n">
        <f aca="false">Q278+P278-P279</f>
        <v>12</v>
      </c>
      <c r="R279" s="314" t="n">
        <f aca="false">INDEX(G:G,P279,1)</f>
        <v>69000</v>
      </c>
      <c r="S279" s="312"/>
    </row>
    <row r="280" s="379" customFormat="true" ht="14.9" hidden="false" customHeight="false" outlineLevel="0" collapsed="false">
      <c r="A280" s="380" t="n">
        <v>270</v>
      </c>
      <c r="B280" s="381" t="str">
        <f aca="false">CONCATENATE(INT((A280-1)/12)+1,"-й год ",A280-1-INT((A280-1)/12)*12+1,"-й мес")</f>
        <v>23-й год 6-й мес</v>
      </c>
      <c r="C280" s="382" t="n">
        <f aca="false">DATE(YEAR(C279),MONTH(C279)+1,DAY(C279))</f>
        <v>52079</v>
      </c>
      <c r="D280" s="383" t="n">
        <f aca="false">IFERROR(IF(R280*$D$4/100/12/(1-(1+$D$4/100/12)^(-Q280))&lt;G279,ROUNDUP(R280*$D$4/100/12/(1-(1+$D$4/100/12)^(-Q280)),0),G279+F280),0)</f>
        <v>0</v>
      </c>
      <c r="E280" s="384" t="n">
        <f aca="false">D280-F280</f>
        <v>0</v>
      </c>
      <c r="F280" s="384" t="n">
        <f aca="false">G279*$D$4*(C280-C279)/(DATE(YEAR(C280)+1,1,1)-DATE(YEAR(C280),1,1))/100</f>
        <v>0</v>
      </c>
      <c r="G280" s="385" t="n">
        <f aca="false">G279-E280-L280-M280</f>
        <v>0</v>
      </c>
      <c r="H280" s="386" t="n">
        <f aca="false">IFERROR(I280+J280,0)</f>
        <v>0</v>
      </c>
      <c r="I280" s="384" t="n">
        <f aca="false">IFERROR(IF($D$3/$D$5&lt;K279,$D$3/$D$5,K279),0)</f>
        <v>0</v>
      </c>
      <c r="J280" s="384" t="n">
        <f aca="false">K279*$D$4/12/100</f>
        <v>0</v>
      </c>
      <c r="K280" s="387" t="n">
        <f aca="false">K279-I280-L280-M280</f>
        <v>0</v>
      </c>
      <c r="L280" s="388"/>
      <c r="M280" s="389"/>
      <c r="N280" s="409"/>
      <c r="O280" s="409"/>
      <c r="P280" s="391" t="n">
        <f aca="false">IF(ISBLANK(L279),VALUE(P279),ROW(L279))</f>
        <v>10</v>
      </c>
      <c r="Q280" s="314" t="n">
        <f aca="false">Q279+P279-P280</f>
        <v>12</v>
      </c>
      <c r="R280" s="314" t="n">
        <f aca="false">INDEX(G:G,P280,1)</f>
        <v>69000</v>
      </c>
      <c r="S280" s="312"/>
    </row>
    <row r="281" s="379" customFormat="true" ht="14.9" hidden="false" customHeight="false" outlineLevel="0" collapsed="false">
      <c r="A281" s="380" t="n">
        <v>271</v>
      </c>
      <c r="B281" s="381" t="str">
        <f aca="false">CONCATENATE(INT((A281-1)/12)+1,"-й год ",A281-1-INT((A281-1)/12)*12+1,"-й мес")</f>
        <v>23-й год 7-й мес</v>
      </c>
      <c r="C281" s="382" t="n">
        <f aca="false">DATE(YEAR(C280),MONTH(C280)+1,DAY(C280))</f>
        <v>52110</v>
      </c>
      <c r="D281" s="383" t="n">
        <f aca="false">IFERROR(IF(R281*$D$4/100/12/(1-(1+$D$4/100/12)^(-Q281))&lt;G280,ROUNDUP(R281*$D$4/100/12/(1-(1+$D$4/100/12)^(-Q281)),0),G280+F281),0)</f>
        <v>0</v>
      </c>
      <c r="E281" s="384" t="n">
        <f aca="false">D281-F281</f>
        <v>0</v>
      </c>
      <c r="F281" s="384" t="n">
        <f aca="false">G280*$D$4*(C281-C280)/(DATE(YEAR(C281)+1,1,1)-DATE(YEAR(C281),1,1))/100</f>
        <v>0</v>
      </c>
      <c r="G281" s="385" t="n">
        <f aca="false">G280-E281-L281-M281</f>
        <v>0</v>
      </c>
      <c r="H281" s="386" t="n">
        <f aca="false">IFERROR(I281+J281,0)</f>
        <v>0</v>
      </c>
      <c r="I281" s="384" t="n">
        <f aca="false">IFERROR(IF($D$3/$D$5&lt;K280,$D$3/$D$5,K280),0)</f>
        <v>0</v>
      </c>
      <c r="J281" s="384" t="n">
        <f aca="false">K280*$D$4/12/100</f>
        <v>0</v>
      </c>
      <c r="K281" s="387" t="n">
        <f aca="false">K280-I281-L281-M281</f>
        <v>0</v>
      </c>
      <c r="L281" s="388"/>
      <c r="M281" s="389"/>
      <c r="N281" s="409"/>
      <c r="O281" s="409"/>
      <c r="P281" s="391" t="n">
        <f aca="false">IF(ISBLANK(L280),VALUE(P280),ROW(L280))</f>
        <v>10</v>
      </c>
      <c r="Q281" s="314" t="n">
        <f aca="false">Q280+P280-P281</f>
        <v>12</v>
      </c>
      <c r="R281" s="314" t="n">
        <f aca="false">INDEX(G:G,P281,1)</f>
        <v>69000</v>
      </c>
      <c r="S281" s="312"/>
    </row>
    <row r="282" s="379" customFormat="true" ht="14.9" hidden="false" customHeight="false" outlineLevel="0" collapsed="false">
      <c r="A282" s="380" t="n">
        <v>272</v>
      </c>
      <c r="B282" s="381" t="str">
        <f aca="false">CONCATENATE(INT((A282-1)/12)+1,"-й год ",A282-1-INT((A282-1)/12)*12+1,"-й мес")</f>
        <v>23-й год 8-й мес</v>
      </c>
      <c r="C282" s="382" t="n">
        <f aca="false">DATE(YEAR(C281),MONTH(C281)+1,DAY(C281))</f>
        <v>52140</v>
      </c>
      <c r="D282" s="383" t="n">
        <f aca="false">IFERROR(IF(R282*$D$4/100/12/(1-(1+$D$4/100/12)^(-Q282))&lt;G281,ROUNDUP(R282*$D$4/100/12/(1-(1+$D$4/100/12)^(-Q282)),0),G281+F282),0)</f>
        <v>0</v>
      </c>
      <c r="E282" s="384" t="n">
        <f aca="false">D282-F282</f>
        <v>0</v>
      </c>
      <c r="F282" s="384" t="n">
        <f aca="false">G281*$D$4*(C282-C281)/(DATE(YEAR(C282)+1,1,1)-DATE(YEAR(C282),1,1))/100</f>
        <v>0</v>
      </c>
      <c r="G282" s="385" t="n">
        <f aca="false">G281-E282-L282-M282</f>
        <v>0</v>
      </c>
      <c r="H282" s="386" t="n">
        <f aca="false">IFERROR(I282+J282,0)</f>
        <v>0</v>
      </c>
      <c r="I282" s="384" t="n">
        <f aca="false">IFERROR(IF($D$3/$D$5&lt;K281,$D$3/$D$5,K281),0)</f>
        <v>0</v>
      </c>
      <c r="J282" s="384" t="n">
        <f aca="false">K281*$D$4/12/100</f>
        <v>0</v>
      </c>
      <c r="K282" s="387" t="n">
        <f aca="false">K281-I282-L282-M282</f>
        <v>0</v>
      </c>
      <c r="L282" s="388"/>
      <c r="M282" s="389"/>
      <c r="N282" s="409"/>
      <c r="O282" s="409"/>
      <c r="P282" s="391" t="n">
        <f aca="false">IF(ISBLANK(L281),VALUE(P281),ROW(L281))</f>
        <v>10</v>
      </c>
      <c r="Q282" s="314" t="n">
        <f aca="false">Q281+P281-P282</f>
        <v>12</v>
      </c>
      <c r="R282" s="314" t="n">
        <f aca="false">INDEX(G:G,P282,1)</f>
        <v>69000</v>
      </c>
      <c r="S282" s="312"/>
    </row>
    <row r="283" s="379" customFormat="true" ht="14.9" hidden="false" customHeight="false" outlineLevel="0" collapsed="false">
      <c r="A283" s="380" t="n">
        <v>273</v>
      </c>
      <c r="B283" s="381" t="str">
        <f aca="false">CONCATENATE(INT((A283-1)/12)+1,"-й год ",A283-1-INT((A283-1)/12)*12+1,"-й мес")</f>
        <v>23-й год 9-й мес</v>
      </c>
      <c r="C283" s="382" t="n">
        <f aca="false">DATE(YEAR(C282),MONTH(C282)+1,DAY(C282))</f>
        <v>52171</v>
      </c>
      <c r="D283" s="383" t="n">
        <f aca="false">IFERROR(IF(R283*$D$4/100/12/(1-(1+$D$4/100/12)^(-Q283))&lt;G282,ROUNDUP(R283*$D$4/100/12/(1-(1+$D$4/100/12)^(-Q283)),0),G282+F283),0)</f>
        <v>0</v>
      </c>
      <c r="E283" s="384" t="n">
        <f aca="false">D283-F283</f>
        <v>0</v>
      </c>
      <c r="F283" s="384" t="n">
        <f aca="false">G282*$D$4*(C283-C282)/(DATE(YEAR(C283)+1,1,1)-DATE(YEAR(C283),1,1))/100</f>
        <v>0</v>
      </c>
      <c r="G283" s="385" t="n">
        <f aca="false">G282-E283-L283-M283</f>
        <v>0</v>
      </c>
      <c r="H283" s="386" t="n">
        <f aca="false">IFERROR(I283+J283,0)</f>
        <v>0</v>
      </c>
      <c r="I283" s="384" t="n">
        <f aca="false">IFERROR(IF($D$3/$D$5&lt;K282,$D$3/$D$5,K282),0)</f>
        <v>0</v>
      </c>
      <c r="J283" s="384" t="n">
        <f aca="false">K282*$D$4/12/100</f>
        <v>0</v>
      </c>
      <c r="K283" s="387" t="n">
        <f aca="false">K282-I283-L283-M283</f>
        <v>0</v>
      </c>
      <c r="L283" s="388"/>
      <c r="M283" s="389"/>
      <c r="N283" s="409"/>
      <c r="O283" s="409"/>
      <c r="P283" s="391" t="n">
        <f aca="false">IF(ISBLANK(L282),VALUE(P282),ROW(L282))</f>
        <v>10</v>
      </c>
      <c r="Q283" s="314" t="n">
        <f aca="false">Q282+P282-P283</f>
        <v>12</v>
      </c>
      <c r="R283" s="314" t="n">
        <f aca="false">INDEX(G:G,P283,1)</f>
        <v>69000</v>
      </c>
      <c r="S283" s="312"/>
    </row>
    <row r="284" s="379" customFormat="true" ht="14.9" hidden="false" customHeight="false" outlineLevel="0" collapsed="false">
      <c r="A284" s="380" t="n">
        <v>274</v>
      </c>
      <c r="B284" s="381" t="str">
        <f aca="false">CONCATENATE(INT((A284-1)/12)+1,"-й год ",A284-1-INT((A284-1)/12)*12+1,"-й мес")</f>
        <v>23-й год 10-й мес</v>
      </c>
      <c r="C284" s="382" t="n">
        <f aca="false">DATE(YEAR(C283),MONTH(C283)+1,DAY(C283))</f>
        <v>52201</v>
      </c>
      <c r="D284" s="383" t="n">
        <f aca="false">IFERROR(IF(R284*$D$4/100/12/(1-(1+$D$4/100/12)^(-Q284))&lt;G283,ROUNDUP(R284*$D$4/100/12/(1-(1+$D$4/100/12)^(-Q284)),0),G283+F284),0)</f>
        <v>0</v>
      </c>
      <c r="E284" s="384" t="n">
        <f aca="false">D284-F284</f>
        <v>0</v>
      </c>
      <c r="F284" s="384" t="n">
        <f aca="false">G283*$D$4*(C284-C283)/(DATE(YEAR(C284)+1,1,1)-DATE(YEAR(C284),1,1))/100</f>
        <v>0</v>
      </c>
      <c r="G284" s="385" t="n">
        <f aca="false">G283-E284-L284-M284</f>
        <v>0</v>
      </c>
      <c r="H284" s="386" t="n">
        <f aca="false">IFERROR(I284+J284,0)</f>
        <v>0</v>
      </c>
      <c r="I284" s="384" t="n">
        <f aca="false">IFERROR(IF($D$3/$D$5&lt;K283,$D$3/$D$5,K283),0)</f>
        <v>0</v>
      </c>
      <c r="J284" s="384" t="n">
        <f aca="false">K283*$D$4/12/100</f>
        <v>0</v>
      </c>
      <c r="K284" s="387" t="n">
        <f aca="false">K283-I284-L284-M284</f>
        <v>0</v>
      </c>
      <c r="L284" s="388"/>
      <c r="M284" s="389"/>
      <c r="N284" s="409"/>
      <c r="O284" s="409"/>
      <c r="P284" s="391" t="n">
        <f aca="false">IF(ISBLANK(L283),VALUE(P283),ROW(L283))</f>
        <v>10</v>
      </c>
      <c r="Q284" s="314" t="n">
        <f aca="false">Q283+P283-P284</f>
        <v>12</v>
      </c>
      <c r="R284" s="314" t="n">
        <f aca="false">INDEX(G:G,P284,1)</f>
        <v>69000</v>
      </c>
      <c r="S284" s="312"/>
    </row>
    <row r="285" s="379" customFormat="true" ht="14.9" hidden="false" customHeight="false" outlineLevel="0" collapsed="false">
      <c r="A285" s="380" t="n">
        <v>275</v>
      </c>
      <c r="B285" s="381" t="str">
        <f aca="false">CONCATENATE(INT((A285-1)/12)+1,"-й год ",A285-1-INT((A285-1)/12)*12+1,"-й мес")</f>
        <v>23-й год 11-й мес</v>
      </c>
      <c r="C285" s="382" t="n">
        <f aca="false">DATE(YEAR(C284),MONTH(C284)+1,DAY(C284))</f>
        <v>52232</v>
      </c>
      <c r="D285" s="383" t="n">
        <f aca="false">IFERROR(IF(R285*$D$4/100/12/(1-(1+$D$4/100/12)^(-Q285))&lt;G284,ROUNDUP(R285*$D$4/100/12/(1-(1+$D$4/100/12)^(-Q285)),0),G284+F285),0)</f>
        <v>0</v>
      </c>
      <c r="E285" s="384" t="n">
        <f aca="false">D285-F285</f>
        <v>0</v>
      </c>
      <c r="F285" s="384" t="n">
        <f aca="false">G284*$D$4*(C285-C284)/(DATE(YEAR(C285)+1,1,1)-DATE(YEAR(C285),1,1))/100</f>
        <v>0</v>
      </c>
      <c r="G285" s="385" t="n">
        <f aca="false">G284-E285-L285-M285</f>
        <v>0</v>
      </c>
      <c r="H285" s="386" t="n">
        <f aca="false">IFERROR(I285+J285,0)</f>
        <v>0</v>
      </c>
      <c r="I285" s="384" t="n">
        <f aca="false">IFERROR(IF($D$3/$D$5&lt;K284,$D$3/$D$5,K284),0)</f>
        <v>0</v>
      </c>
      <c r="J285" s="384" t="n">
        <f aca="false">K284*$D$4/12/100</f>
        <v>0</v>
      </c>
      <c r="K285" s="387" t="n">
        <f aca="false">K284-I285-L285-M285</f>
        <v>0</v>
      </c>
      <c r="L285" s="388"/>
      <c r="M285" s="389"/>
      <c r="N285" s="409"/>
      <c r="O285" s="409"/>
      <c r="P285" s="391" t="n">
        <f aca="false">IF(ISBLANK(L284),VALUE(P284),ROW(L284))</f>
        <v>10</v>
      </c>
      <c r="Q285" s="314" t="n">
        <f aca="false">Q284+P284-P285</f>
        <v>12</v>
      </c>
      <c r="R285" s="314" t="n">
        <f aca="false">INDEX(G:G,P285,1)</f>
        <v>69000</v>
      </c>
      <c r="S285" s="312"/>
    </row>
    <row r="286" s="379" customFormat="true" ht="14.9" hidden="false" customHeight="false" outlineLevel="0" collapsed="false">
      <c r="A286" s="380" t="n">
        <v>276</v>
      </c>
      <c r="B286" s="392" t="str">
        <f aca="false">CONCATENATE(INT((A286-1)/12)+1,"-й год ",A286-1-INT((A286-1)/12)*12+1,"-й мес")</f>
        <v>23-й год 12-й мес</v>
      </c>
      <c r="C286" s="393" t="n">
        <f aca="false">DATE(YEAR(C285),MONTH(C285)+1,DAY(C285))</f>
        <v>52263</v>
      </c>
      <c r="D286" s="394" t="n">
        <f aca="false">IFERROR(IF(R286*$D$4/100/12/(1-(1+$D$4/100/12)^(-Q286))&lt;G285,ROUNDUP(R286*$D$4/100/12/(1-(1+$D$4/100/12)^(-Q286)),0),G285+F286),0)</f>
        <v>0</v>
      </c>
      <c r="E286" s="395" t="n">
        <f aca="false">D286-F286</f>
        <v>0</v>
      </c>
      <c r="F286" s="395" t="n">
        <f aca="false">G285*$D$4*(C286-C285)/(DATE(YEAR(C286)+1,1,1)-DATE(YEAR(C286),1,1))/100</f>
        <v>0</v>
      </c>
      <c r="G286" s="385" t="n">
        <f aca="false">G285-E286-L286-M286</f>
        <v>0</v>
      </c>
      <c r="H286" s="386" t="n">
        <f aca="false">IFERROR(I286+J286,0)</f>
        <v>0</v>
      </c>
      <c r="I286" s="384" t="n">
        <f aca="false">IFERROR(IF($D$3/$D$5&lt;K285,$D$3/$D$5,K285),0)</f>
        <v>0</v>
      </c>
      <c r="J286" s="384" t="n">
        <f aca="false">K285*$D$4/12/100</f>
        <v>0</v>
      </c>
      <c r="K286" s="387" t="n">
        <f aca="false">K285-I286-L286-M286</f>
        <v>0</v>
      </c>
      <c r="L286" s="388"/>
      <c r="M286" s="389"/>
      <c r="N286" s="409"/>
      <c r="O286" s="409"/>
      <c r="P286" s="391" t="n">
        <f aca="false">IF(ISBLANK(L285),VALUE(P285),ROW(L285))</f>
        <v>10</v>
      </c>
      <c r="Q286" s="314" t="n">
        <f aca="false">Q285+P285-P286</f>
        <v>12</v>
      </c>
      <c r="R286" s="314" t="n">
        <f aca="false">INDEX(G:G,P286,1)</f>
        <v>69000</v>
      </c>
      <c r="S286" s="312"/>
    </row>
    <row r="287" s="379" customFormat="true" ht="14.9" hidden="false" customHeight="false" outlineLevel="0" collapsed="false">
      <c r="A287" s="396" t="n">
        <v>277</v>
      </c>
      <c r="B287" s="381" t="str">
        <f aca="false">CONCATENATE(INT((A287-1)/12)+1,"-й год ",A287-1-INT((A287-1)/12)*12+1,"-й мес")</f>
        <v>24-й год 1-й мес</v>
      </c>
      <c r="C287" s="382" t="n">
        <f aca="false">DATE(YEAR(C286),MONTH(C286)+1,DAY(C286))</f>
        <v>52291</v>
      </c>
      <c r="D287" s="383" t="n">
        <f aca="false">IFERROR(IF(R287*$D$4/100/12/(1-(1+$D$4/100/12)^(-Q287))&lt;G286,ROUNDUP(R287*$D$4/100/12/(1-(1+$D$4/100/12)^(-Q287)),0),G286+F287),0)</f>
        <v>0</v>
      </c>
      <c r="E287" s="384" t="n">
        <f aca="false">D287-F287</f>
        <v>0</v>
      </c>
      <c r="F287" s="384" t="n">
        <f aca="false">G286*$D$4*(C287-C286)/(DATE(YEAR(C287)+1,1,1)-DATE(YEAR(C287),1,1))/100</f>
        <v>0</v>
      </c>
      <c r="G287" s="397" t="n">
        <f aca="false">G286-E287-L287-M287</f>
        <v>0</v>
      </c>
      <c r="H287" s="398" t="n">
        <f aca="false">IFERROR(I287+J287,0)</f>
        <v>0</v>
      </c>
      <c r="I287" s="399" t="n">
        <f aca="false">IFERROR(IF($D$3/$D$5&lt;K286,$D$3/$D$5,K286),0)</f>
        <v>0</v>
      </c>
      <c r="J287" s="399" t="n">
        <f aca="false">K286*$D$4/12/100</f>
        <v>0</v>
      </c>
      <c r="K287" s="400" t="n">
        <f aca="false">K286-I287-L287-M287</f>
        <v>0</v>
      </c>
      <c r="L287" s="401"/>
      <c r="M287" s="402"/>
      <c r="N287" s="409"/>
      <c r="O287" s="409"/>
      <c r="P287" s="391" t="n">
        <f aca="false">IF(ISBLANK(L286),VALUE(P286),ROW(L286))</f>
        <v>10</v>
      </c>
      <c r="Q287" s="314" t="n">
        <f aca="false">Q286+P286-P287</f>
        <v>12</v>
      </c>
      <c r="R287" s="314" t="n">
        <f aca="false">INDEX(G:G,P287,1)</f>
        <v>69000</v>
      </c>
      <c r="S287" s="312"/>
    </row>
    <row r="288" s="379" customFormat="true" ht="14.9" hidden="false" customHeight="false" outlineLevel="0" collapsed="false">
      <c r="A288" s="403" t="n">
        <v>278</v>
      </c>
      <c r="B288" s="381" t="str">
        <f aca="false">CONCATENATE(INT((A288-1)/12)+1,"-й год ",A288-1-INT((A288-1)/12)*12+1,"-й мес")</f>
        <v>24-й год 2-й мес</v>
      </c>
      <c r="C288" s="382" t="n">
        <f aca="false">DATE(YEAR(C287),MONTH(C287)+1,DAY(C287))</f>
        <v>52322</v>
      </c>
      <c r="D288" s="383" t="n">
        <f aca="false">IFERROR(IF(R288*$D$4/100/12/(1-(1+$D$4/100/12)^(-Q288))&lt;G287,ROUNDUP(R288*$D$4/100/12/(1-(1+$D$4/100/12)^(-Q288)),0),G287+F288),0)</f>
        <v>0</v>
      </c>
      <c r="E288" s="384" t="n">
        <f aca="false">D288-F288</f>
        <v>0</v>
      </c>
      <c r="F288" s="384" t="n">
        <f aca="false">G287*$D$4*(C288-C287)/(DATE(YEAR(C288)+1,1,1)-DATE(YEAR(C288),1,1))/100</f>
        <v>0</v>
      </c>
      <c r="G288" s="385" t="n">
        <f aca="false">G287-E288-L288-M288</f>
        <v>0</v>
      </c>
      <c r="H288" s="386" t="n">
        <f aca="false">IFERROR(I288+J288,0)</f>
        <v>0</v>
      </c>
      <c r="I288" s="384" t="n">
        <f aca="false">IFERROR(IF($D$3/$D$5&lt;K287,$D$3/$D$5,K287),0)</f>
        <v>0</v>
      </c>
      <c r="J288" s="384" t="n">
        <f aca="false">K287*$D$4/12/100</f>
        <v>0</v>
      </c>
      <c r="K288" s="387" t="n">
        <f aca="false">K287-I288-L288-M288</f>
        <v>0</v>
      </c>
      <c r="L288" s="388"/>
      <c r="M288" s="389"/>
      <c r="N288" s="409"/>
      <c r="O288" s="409"/>
      <c r="P288" s="391" t="n">
        <f aca="false">IF(ISBLANK(L287),VALUE(P287),ROW(L287))</f>
        <v>10</v>
      </c>
      <c r="Q288" s="314" t="n">
        <f aca="false">Q287+P287-P288</f>
        <v>12</v>
      </c>
      <c r="R288" s="314" t="n">
        <f aca="false">INDEX(G:G,P288,1)</f>
        <v>69000</v>
      </c>
      <c r="S288" s="312"/>
    </row>
    <row r="289" s="379" customFormat="true" ht="14.9" hidden="false" customHeight="false" outlineLevel="0" collapsed="false">
      <c r="A289" s="403" t="n">
        <v>279</v>
      </c>
      <c r="B289" s="381" t="str">
        <f aca="false">CONCATENATE(INT((A289-1)/12)+1,"-й год ",A289-1-INT((A289-1)/12)*12+1,"-й мес")</f>
        <v>24-й год 3-й мес</v>
      </c>
      <c r="C289" s="382" t="n">
        <f aca="false">DATE(YEAR(C288),MONTH(C288)+1,DAY(C288))</f>
        <v>52352</v>
      </c>
      <c r="D289" s="383" t="n">
        <f aca="false">IFERROR(IF(R289*$D$4/100/12/(1-(1+$D$4/100/12)^(-Q289))&lt;G288,ROUNDUP(R289*$D$4/100/12/(1-(1+$D$4/100/12)^(-Q289)),0),G288+F289),0)</f>
        <v>0</v>
      </c>
      <c r="E289" s="384" t="n">
        <f aca="false">D289-F289</f>
        <v>0</v>
      </c>
      <c r="F289" s="384" t="n">
        <f aca="false">G288*$D$4*(C289-C288)/(DATE(YEAR(C289)+1,1,1)-DATE(YEAR(C289),1,1))/100</f>
        <v>0</v>
      </c>
      <c r="G289" s="385" t="n">
        <f aca="false">G288-E289-L289-M289</f>
        <v>0</v>
      </c>
      <c r="H289" s="386" t="n">
        <f aca="false">IFERROR(I289+J289,0)</f>
        <v>0</v>
      </c>
      <c r="I289" s="384" t="n">
        <f aca="false">IFERROR(IF($D$3/$D$5&lt;K288,$D$3/$D$5,K288),0)</f>
        <v>0</v>
      </c>
      <c r="J289" s="384" t="n">
        <f aca="false">K288*$D$4/12/100</f>
        <v>0</v>
      </c>
      <c r="K289" s="387" t="n">
        <f aca="false">K288-I289-L289-M289</f>
        <v>0</v>
      </c>
      <c r="L289" s="388"/>
      <c r="M289" s="389"/>
      <c r="N289" s="409"/>
      <c r="O289" s="409"/>
      <c r="P289" s="391" t="n">
        <f aca="false">IF(ISBLANK(L288),VALUE(P288),ROW(L288))</f>
        <v>10</v>
      </c>
      <c r="Q289" s="314" t="n">
        <f aca="false">Q288+P288-P289</f>
        <v>12</v>
      </c>
      <c r="R289" s="314" t="n">
        <f aca="false">INDEX(G:G,P289,1)</f>
        <v>69000</v>
      </c>
      <c r="S289" s="312"/>
    </row>
    <row r="290" s="379" customFormat="true" ht="14.9" hidden="false" customHeight="false" outlineLevel="0" collapsed="false">
      <c r="A290" s="403" t="n">
        <v>280</v>
      </c>
      <c r="B290" s="381" t="str">
        <f aca="false">CONCATENATE(INT((A290-1)/12)+1,"-й год ",A290-1-INT((A290-1)/12)*12+1,"-й мес")</f>
        <v>24-й год 4-й мес</v>
      </c>
      <c r="C290" s="382" t="n">
        <f aca="false">DATE(YEAR(C289),MONTH(C289)+1,DAY(C289))</f>
        <v>52383</v>
      </c>
      <c r="D290" s="383" t="n">
        <f aca="false">IFERROR(IF(R290*$D$4/100/12/(1-(1+$D$4/100/12)^(-Q290))&lt;G289,ROUNDUP(R290*$D$4/100/12/(1-(1+$D$4/100/12)^(-Q290)),0),G289+F290),0)</f>
        <v>0</v>
      </c>
      <c r="E290" s="384" t="n">
        <f aca="false">D290-F290</f>
        <v>0</v>
      </c>
      <c r="F290" s="384" t="n">
        <f aca="false">G289*$D$4*(C290-C289)/(DATE(YEAR(C290)+1,1,1)-DATE(YEAR(C290),1,1))/100</f>
        <v>0</v>
      </c>
      <c r="G290" s="385" t="n">
        <f aca="false">G289-E290-L290-M290</f>
        <v>0</v>
      </c>
      <c r="H290" s="386" t="n">
        <f aca="false">IFERROR(I290+J290,0)</f>
        <v>0</v>
      </c>
      <c r="I290" s="384" t="n">
        <f aca="false">IFERROR(IF($D$3/$D$5&lt;K289,$D$3/$D$5,K289),0)</f>
        <v>0</v>
      </c>
      <c r="J290" s="384" t="n">
        <f aca="false">K289*$D$4/12/100</f>
        <v>0</v>
      </c>
      <c r="K290" s="387" t="n">
        <f aca="false">K289-I290-L290-M290</f>
        <v>0</v>
      </c>
      <c r="L290" s="388"/>
      <c r="M290" s="389"/>
      <c r="N290" s="409"/>
      <c r="O290" s="409"/>
      <c r="P290" s="391" t="n">
        <f aca="false">IF(ISBLANK(L289),VALUE(P289),ROW(L289))</f>
        <v>10</v>
      </c>
      <c r="Q290" s="314" t="n">
        <f aca="false">Q289+P289-P290</f>
        <v>12</v>
      </c>
      <c r="R290" s="314" t="n">
        <f aca="false">INDEX(G:G,P290,1)</f>
        <v>69000</v>
      </c>
      <c r="S290" s="312"/>
    </row>
    <row r="291" s="379" customFormat="true" ht="14.9" hidden="false" customHeight="false" outlineLevel="0" collapsed="false">
      <c r="A291" s="403" t="n">
        <v>281</v>
      </c>
      <c r="B291" s="381" t="str">
        <f aca="false">CONCATENATE(INT((A291-1)/12)+1,"-й год ",A291-1-INT((A291-1)/12)*12+1,"-й мес")</f>
        <v>24-й год 5-й мес</v>
      </c>
      <c r="C291" s="382" t="n">
        <f aca="false">DATE(YEAR(C290),MONTH(C290)+1,DAY(C290))</f>
        <v>52413</v>
      </c>
      <c r="D291" s="383" t="n">
        <f aca="false">IFERROR(IF(R291*$D$4/100/12/(1-(1+$D$4/100/12)^(-Q291))&lt;G290,ROUNDUP(R291*$D$4/100/12/(1-(1+$D$4/100/12)^(-Q291)),0),G290+F291),0)</f>
        <v>0</v>
      </c>
      <c r="E291" s="384" t="n">
        <f aca="false">D291-F291</f>
        <v>0</v>
      </c>
      <c r="F291" s="384" t="n">
        <f aca="false">G290*$D$4*(C291-C290)/(DATE(YEAR(C291)+1,1,1)-DATE(YEAR(C291),1,1))/100</f>
        <v>0</v>
      </c>
      <c r="G291" s="385" t="n">
        <f aca="false">G290-E291-L291-M291</f>
        <v>0</v>
      </c>
      <c r="H291" s="386" t="n">
        <f aca="false">IFERROR(I291+J291,0)</f>
        <v>0</v>
      </c>
      <c r="I291" s="384" t="n">
        <f aca="false">IFERROR(IF($D$3/$D$5&lt;K290,$D$3/$D$5,K290),0)</f>
        <v>0</v>
      </c>
      <c r="J291" s="384" t="n">
        <f aca="false">K290*$D$4/12/100</f>
        <v>0</v>
      </c>
      <c r="K291" s="387" t="n">
        <f aca="false">K290-I291-L291-M291</f>
        <v>0</v>
      </c>
      <c r="L291" s="388"/>
      <c r="M291" s="389"/>
      <c r="N291" s="409"/>
      <c r="O291" s="409"/>
      <c r="P291" s="391" t="n">
        <f aca="false">IF(ISBLANK(L290),VALUE(P290),ROW(L290))</f>
        <v>10</v>
      </c>
      <c r="Q291" s="314" t="n">
        <f aca="false">Q290+P290-P291</f>
        <v>12</v>
      </c>
      <c r="R291" s="314" t="n">
        <f aca="false">INDEX(G:G,P291,1)</f>
        <v>69000</v>
      </c>
      <c r="S291" s="312"/>
    </row>
    <row r="292" s="379" customFormat="true" ht="14.9" hidden="false" customHeight="false" outlineLevel="0" collapsed="false">
      <c r="A292" s="403" t="n">
        <v>282</v>
      </c>
      <c r="B292" s="381" t="str">
        <f aca="false">CONCATENATE(INT((A292-1)/12)+1,"-й год ",A292-1-INT((A292-1)/12)*12+1,"-й мес")</f>
        <v>24-й год 6-й мес</v>
      </c>
      <c r="C292" s="382" t="n">
        <f aca="false">DATE(YEAR(C291),MONTH(C291)+1,DAY(C291))</f>
        <v>52444</v>
      </c>
      <c r="D292" s="383" t="n">
        <f aca="false">IFERROR(IF(R292*$D$4/100/12/(1-(1+$D$4/100/12)^(-Q292))&lt;G291,ROUNDUP(R292*$D$4/100/12/(1-(1+$D$4/100/12)^(-Q292)),0),G291+F292),0)</f>
        <v>0</v>
      </c>
      <c r="E292" s="384" t="n">
        <f aca="false">D292-F292</f>
        <v>0</v>
      </c>
      <c r="F292" s="384" t="n">
        <f aca="false">G291*$D$4*(C292-C291)/(DATE(YEAR(C292)+1,1,1)-DATE(YEAR(C292),1,1))/100</f>
        <v>0</v>
      </c>
      <c r="G292" s="385" t="n">
        <f aca="false">G291-E292-L292-M292</f>
        <v>0</v>
      </c>
      <c r="H292" s="386" t="n">
        <f aca="false">IFERROR(I292+J292,0)</f>
        <v>0</v>
      </c>
      <c r="I292" s="384" t="n">
        <f aca="false">IFERROR(IF($D$3/$D$5&lt;K291,$D$3/$D$5,K291),0)</f>
        <v>0</v>
      </c>
      <c r="J292" s="384" t="n">
        <f aca="false">K291*$D$4/12/100</f>
        <v>0</v>
      </c>
      <c r="K292" s="387" t="n">
        <f aca="false">K291-I292-L292-M292</f>
        <v>0</v>
      </c>
      <c r="L292" s="388"/>
      <c r="M292" s="389"/>
      <c r="N292" s="409"/>
      <c r="O292" s="409"/>
      <c r="P292" s="391" t="n">
        <f aca="false">IF(ISBLANK(L291),VALUE(P291),ROW(L291))</f>
        <v>10</v>
      </c>
      <c r="Q292" s="314" t="n">
        <f aca="false">Q291+P291-P292</f>
        <v>12</v>
      </c>
      <c r="R292" s="314" t="n">
        <f aca="false">INDEX(G:G,P292,1)</f>
        <v>69000</v>
      </c>
      <c r="S292" s="312"/>
    </row>
    <row r="293" s="379" customFormat="true" ht="14.9" hidden="false" customHeight="false" outlineLevel="0" collapsed="false">
      <c r="A293" s="403" t="n">
        <v>283</v>
      </c>
      <c r="B293" s="381" t="str">
        <f aca="false">CONCATENATE(INT((A293-1)/12)+1,"-й год ",A293-1-INT((A293-1)/12)*12+1,"-й мес")</f>
        <v>24-й год 7-й мес</v>
      </c>
      <c r="C293" s="382" t="n">
        <f aca="false">DATE(YEAR(C292),MONTH(C292)+1,DAY(C292))</f>
        <v>52475</v>
      </c>
      <c r="D293" s="383" t="n">
        <f aca="false">IFERROR(IF(R293*$D$4/100/12/(1-(1+$D$4/100/12)^(-Q293))&lt;G292,ROUNDUP(R293*$D$4/100/12/(1-(1+$D$4/100/12)^(-Q293)),0),G292+F293),0)</f>
        <v>0</v>
      </c>
      <c r="E293" s="384" t="n">
        <f aca="false">D293-F293</f>
        <v>0</v>
      </c>
      <c r="F293" s="384" t="n">
        <f aca="false">G292*$D$4*(C293-C292)/(DATE(YEAR(C293)+1,1,1)-DATE(YEAR(C293),1,1))/100</f>
        <v>0</v>
      </c>
      <c r="G293" s="385" t="n">
        <f aca="false">G292-E293-L293-M293</f>
        <v>0</v>
      </c>
      <c r="H293" s="386" t="n">
        <f aca="false">IFERROR(I293+J293,0)</f>
        <v>0</v>
      </c>
      <c r="I293" s="384" t="n">
        <f aca="false">IFERROR(IF($D$3/$D$5&lt;K292,$D$3/$D$5,K292),0)</f>
        <v>0</v>
      </c>
      <c r="J293" s="384" t="n">
        <f aca="false">K292*$D$4/12/100</f>
        <v>0</v>
      </c>
      <c r="K293" s="387" t="n">
        <f aca="false">K292-I293-L293-M293</f>
        <v>0</v>
      </c>
      <c r="L293" s="388"/>
      <c r="M293" s="389"/>
      <c r="N293" s="409"/>
      <c r="O293" s="409"/>
      <c r="P293" s="391" t="n">
        <f aca="false">IF(ISBLANK(L292),VALUE(P292),ROW(L292))</f>
        <v>10</v>
      </c>
      <c r="Q293" s="314" t="n">
        <f aca="false">Q292+P292-P293</f>
        <v>12</v>
      </c>
      <c r="R293" s="314" t="n">
        <f aca="false">INDEX(G:G,P293,1)</f>
        <v>69000</v>
      </c>
      <c r="S293" s="312"/>
    </row>
    <row r="294" s="379" customFormat="true" ht="14.9" hidden="false" customHeight="false" outlineLevel="0" collapsed="false">
      <c r="A294" s="403" t="n">
        <v>284</v>
      </c>
      <c r="B294" s="381" t="str">
        <f aca="false">CONCATENATE(INT((A294-1)/12)+1,"-й год ",A294-1-INT((A294-1)/12)*12+1,"-й мес")</f>
        <v>24-й год 8-й мес</v>
      </c>
      <c r="C294" s="382" t="n">
        <f aca="false">DATE(YEAR(C293),MONTH(C293)+1,DAY(C293))</f>
        <v>52505</v>
      </c>
      <c r="D294" s="383" t="n">
        <f aca="false">IFERROR(IF(R294*$D$4/100/12/(1-(1+$D$4/100/12)^(-Q294))&lt;G293,ROUNDUP(R294*$D$4/100/12/(1-(1+$D$4/100/12)^(-Q294)),0),G293+F294),0)</f>
        <v>0</v>
      </c>
      <c r="E294" s="384" t="n">
        <f aca="false">D294-F294</f>
        <v>0</v>
      </c>
      <c r="F294" s="384" t="n">
        <f aca="false">G293*$D$4*(C294-C293)/(DATE(YEAR(C294)+1,1,1)-DATE(YEAR(C294),1,1))/100</f>
        <v>0</v>
      </c>
      <c r="G294" s="385" t="n">
        <f aca="false">G293-E294-L294-M294</f>
        <v>0</v>
      </c>
      <c r="H294" s="386" t="n">
        <f aca="false">IFERROR(I294+J294,0)</f>
        <v>0</v>
      </c>
      <c r="I294" s="384" t="n">
        <f aca="false">IFERROR(IF($D$3/$D$5&lt;K293,$D$3/$D$5,K293),0)</f>
        <v>0</v>
      </c>
      <c r="J294" s="384" t="n">
        <f aca="false">K293*$D$4/12/100</f>
        <v>0</v>
      </c>
      <c r="K294" s="387" t="n">
        <f aca="false">K293-I294-L294-M294</f>
        <v>0</v>
      </c>
      <c r="L294" s="388"/>
      <c r="M294" s="389"/>
      <c r="N294" s="409"/>
      <c r="O294" s="409"/>
      <c r="P294" s="391" t="n">
        <f aca="false">IF(ISBLANK(L293),VALUE(P293),ROW(L293))</f>
        <v>10</v>
      </c>
      <c r="Q294" s="314" t="n">
        <f aca="false">Q293+P293-P294</f>
        <v>12</v>
      </c>
      <c r="R294" s="314" t="n">
        <f aca="false">INDEX(G:G,P294,1)</f>
        <v>69000</v>
      </c>
      <c r="S294" s="312"/>
    </row>
    <row r="295" s="379" customFormat="true" ht="14.9" hidden="false" customHeight="false" outlineLevel="0" collapsed="false">
      <c r="A295" s="403" t="n">
        <v>285</v>
      </c>
      <c r="B295" s="381" t="str">
        <f aca="false">CONCATENATE(INT((A295-1)/12)+1,"-й год ",A295-1-INT((A295-1)/12)*12+1,"-й мес")</f>
        <v>24-й год 9-й мес</v>
      </c>
      <c r="C295" s="382" t="n">
        <f aca="false">DATE(YEAR(C294),MONTH(C294)+1,DAY(C294))</f>
        <v>52536</v>
      </c>
      <c r="D295" s="383" t="n">
        <f aca="false">IFERROR(IF(R295*$D$4/100/12/(1-(1+$D$4/100/12)^(-Q295))&lt;G294,ROUNDUP(R295*$D$4/100/12/(1-(1+$D$4/100/12)^(-Q295)),0),G294+F295),0)</f>
        <v>0</v>
      </c>
      <c r="E295" s="384" t="n">
        <f aca="false">D295-F295</f>
        <v>0</v>
      </c>
      <c r="F295" s="384" t="n">
        <f aca="false">G294*$D$4*(C295-C294)/(DATE(YEAR(C295)+1,1,1)-DATE(YEAR(C295),1,1))/100</f>
        <v>0</v>
      </c>
      <c r="G295" s="385" t="n">
        <f aca="false">G294-E295-L295-M295</f>
        <v>0</v>
      </c>
      <c r="H295" s="386" t="n">
        <f aca="false">IFERROR(I295+J295,0)</f>
        <v>0</v>
      </c>
      <c r="I295" s="384" t="n">
        <f aca="false">IFERROR(IF($D$3/$D$5&lt;K294,$D$3/$D$5,K294),0)</f>
        <v>0</v>
      </c>
      <c r="J295" s="384" t="n">
        <f aca="false">K294*$D$4/12/100</f>
        <v>0</v>
      </c>
      <c r="K295" s="387" t="n">
        <f aca="false">K294-I295-L295-M295</f>
        <v>0</v>
      </c>
      <c r="L295" s="388"/>
      <c r="M295" s="389"/>
      <c r="N295" s="409"/>
      <c r="O295" s="409"/>
      <c r="P295" s="391" t="n">
        <f aca="false">IF(ISBLANK(L294),VALUE(P294),ROW(L294))</f>
        <v>10</v>
      </c>
      <c r="Q295" s="314" t="n">
        <f aca="false">Q294+P294-P295</f>
        <v>12</v>
      </c>
      <c r="R295" s="314" t="n">
        <f aca="false">INDEX(G:G,P295,1)</f>
        <v>69000</v>
      </c>
      <c r="S295" s="312"/>
    </row>
    <row r="296" s="379" customFormat="true" ht="14.9" hidden="false" customHeight="false" outlineLevel="0" collapsed="false">
      <c r="A296" s="403" t="n">
        <v>286</v>
      </c>
      <c r="B296" s="381" t="str">
        <f aca="false">CONCATENATE(INT((A296-1)/12)+1,"-й год ",A296-1-INT((A296-1)/12)*12+1,"-й мес")</f>
        <v>24-й год 10-й мес</v>
      </c>
      <c r="C296" s="382" t="n">
        <f aca="false">DATE(YEAR(C295),MONTH(C295)+1,DAY(C295))</f>
        <v>52566</v>
      </c>
      <c r="D296" s="383" t="n">
        <f aca="false">IFERROR(IF(R296*$D$4/100/12/(1-(1+$D$4/100/12)^(-Q296))&lt;G295,ROUNDUP(R296*$D$4/100/12/(1-(1+$D$4/100/12)^(-Q296)),0),G295+F296),0)</f>
        <v>0</v>
      </c>
      <c r="E296" s="384" t="n">
        <f aca="false">D296-F296</f>
        <v>0</v>
      </c>
      <c r="F296" s="384" t="n">
        <f aca="false">G295*$D$4*(C296-C295)/(DATE(YEAR(C296)+1,1,1)-DATE(YEAR(C296),1,1))/100</f>
        <v>0</v>
      </c>
      <c r="G296" s="385" t="n">
        <f aca="false">G295-E296-L296-M296</f>
        <v>0</v>
      </c>
      <c r="H296" s="386" t="n">
        <f aca="false">IFERROR(I296+J296,0)</f>
        <v>0</v>
      </c>
      <c r="I296" s="384" t="n">
        <f aca="false">IFERROR(IF($D$3/$D$5&lt;K295,$D$3/$D$5,K295),0)</f>
        <v>0</v>
      </c>
      <c r="J296" s="384" t="n">
        <f aca="false">K295*$D$4/12/100</f>
        <v>0</v>
      </c>
      <c r="K296" s="387" t="n">
        <f aca="false">K295-I296-L296-M296</f>
        <v>0</v>
      </c>
      <c r="L296" s="388"/>
      <c r="M296" s="389"/>
      <c r="N296" s="409"/>
      <c r="O296" s="409"/>
      <c r="P296" s="391" t="n">
        <f aca="false">IF(ISBLANK(L295),VALUE(P295),ROW(L295))</f>
        <v>10</v>
      </c>
      <c r="Q296" s="314" t="n">
        <f aca="false">Q295+P295-P296</f>
        <v>12</v>
      </c>
      <c r="R296" s="314" t="n">
        <f aca="false">INDEX(G:G,P296,1)</f>
        <v>69000</v>
      </c>
      <c r="S296" s="312"/>
    </row>
    <row r="297" s="379" customFormat="true" ht="14.9" hidden="false" customHeight="false" outlineLevel="0" collapsed="false">
      <c r="A297" s="403" t="n">
        <v>287</v>
      </c>
      <c r="B297" s="381" t="str">
        <f aca="false">CONCATENATE(INT((A297-1)/12)+1,"-й год ",A297-1-INT((A297-1)/12)*12+1,"-й мес")</f>
        <v>24-й год 11-й мес</v>
      </c>
      <c r="C297" s="382" t="n">
        <f aca="false">DATE(YEAR(C296),MONTH(C296)+1,DAY(C296))</f>
        <v>52597</v>
      </c>
      <c r="D297" s="383" t="n">
        <f aca="false">IFERROR(IF(R297*$D$4/100/12/(1-(1+$D$4/100/12)^(-Q297))&lt;G296,ROUNDUP(R297*$D$4/100/12/(1-(1+$D$4/100/12)^(-Q297)),0),G296+F297),0)</f>
        <v>0</v>
      </c>
      <c r="E297" s="384" t="n">
        <f aca="false">D297-F297</f>
        <v>0</v>
      </c>
      <c r="F297" s="384" t="n">
        <f aca="false">G296*$D$4*(C297-C296)/(DATE(YEAR(C297)+1,1,1)-DATE(YEAR(C297),1,1))/100</f>
        <v>0</v>
      </c>
      <c r="G297" s="385" t="n">
        <f aca="false">G296-E297-L297-M297</f>
        <v>0</v>
      </c>
      <c r="H297" s="386" t="n">
        <f aca="false">IFERROR(I297+J297,0)</f>
        <v>0</v>
      </c>
      <c r="I297" s="384" t="n">
        <f aca="false">IFERROR(IF($D$3/$D$5&lt;K296,$D$3/$D$5,K296),0)</f>
        <v>0</v>
      </c>
      <c r="J297" s="384" t="n">
        <f aca="false">K296*$D$4/12/100</f>
        <v>0</v>
      </c>
      <c r="K297" s="387" t="n">
        <f aca="false">K296-I297-L297-M297</f>
        <v>0</v>
      </c>
      <c r="L297" s="388"/>
      <c r="M297" s="389"/>
      <c r="N297" s="409"/>
      <c r="O297" s="409"/>
      <c r="P297" s="391" t="n">
        <f aca="false">IF(ISBLANK(L296),VALUE(P296),ROW(L296))</f>
        <v>10</v>
      </c>
      <c r="Q297" s="314" t="n">
        <f aca="false">Q296+P296-P297</f>
        <v>12</v>
      </c>
      <c r="R297" s="314" t="n">
        <f aca="false">INDEX(G:G,P297,1)</f>
        <v>69000</v>
      </c>
      <c r="S297" s="312"/>
    </row>
    <row r="298" s="379" customFormat="true" ht="14.9" hidden="false" customHeight="false" outlineLevel="0" collapsed="false">
      <c r="A298" s="404" t="n">
        <v>288</v>
      </c>
      <c r="B298" s="392" t="str">
        <f aca="false">CONCATENATE(INT((A298-1)/12)+1,"-й год ",A298-1-INT((A298-1)/12)*12+1,"-й мес")</f>
        <v>24-й год 12-й мес</v>
      </c>
      <c r="C298" s="393" t="n">
        <f aca="false">DATE(YEAR(C297),MONTH(C297)+1,DAY(C297))</f>
        <v>52628</v>
      </c>
      <c r="D298" s="394" t="n">
        <f aca="false">IFERROR(IF(R298*$D$4/100/12/(1-(1+$D$4/100/12)^(-Q298))&lt;G297,ROUNDUP(R298*$D$4/100/12/(1-(1+$D$4/100/12)^(-Q298)),0),G297+F298),0)</f>
        <v>0</v>
      </c>
      <c r="E298" s="395" t="n">
        <f aca="false">D298-F298</f>
        <v>0</v>
      </c>
      <c r="F298" s="395" t="n">
        <f aca="false">G297*$D$4*(C298-C297)/(DATE(YEAR(C298)+1,1,1)-DATE(YEAR(C298),1,1))/100</f>
        <v>0</v>
      </c>
      <c r="G298" s="405" t="n">
        <f aca="false">G297-E298-L298-M298</f>
        <v>0</v>
      </c>
      <c r="H298" s="406" t="n">
        <f aca="false">IFERROR(I298+J298,0)</f>
        <v>0</v>
      </c>
      <c r="I298" s="395" t="n">
        <f aca="false">IFERROR(IF($D$3/$D$5&lt;K297,$D$3/$D$5,K297),0)</f>
        <v>0</v>
      </c>
      <c r="J298" s="395" t="n">
        <f aca="false">K297*$D$4/12/100</f>
        <v>0</v>
      </c>
      <c r="K298" s="407" t="n">
        <f aca="false">K297-I298-L298-M298</f>
        <v>0</v>
      </c>
      <c r="L298" s="408"/>
      <c r="M298" s="410"/>
      <c r="N298" s="409"/>
      <c r="O298" s="409"/>
      <c r="P298" s="391" t="n">
        <f aca="false">IF(ISBLANK(L297),VALUE(P297),ROW(L297))</f>
        <v>10</v>
      </c>
      <c r="Q298" s="314" t="n">
        <f aca="false">Q297+P297-P298</f>
        <v>12</v>
      </c>
      <c r="R298" s="314" t="n">
        <f aca="false">INDEX(G:G,P298,1)</f>
        <v>69000</v>
      </c>
      <c r="S298" s="312"/>
    </row>
    <row r="299" s="379" customFormat="true" ht="14.9" hidden="false" customHeight="false" outlineLevel="0" collapsed="false">
      <c r="A299" s="380" t="n">
        <v>289</v>
      </c>
      <c r="B299" s="381" t="str">
        <f aca="false">CONCATENATE(INT((A299-1)/12)+1,"-й год ",A299-1-INT((A299-1)/12)*12+1,"-й мес")</f>
        <v>25-й год 1-й мес</v>
      </c>
      <c r="C299" s="382" t="n">
        <f aca="false">DATE(YEAR(C298),MONTH(C298)+1,DAY(C298))</f>
        <v>52657</v>
      </c>
      <c r="D299" s="383" t="n">
        <f aca="false">IFERROR(IF(R299*$D$4/100/12/(1-(1+$D$4/100/12)^(-Q299))&lt;G298,ROUNDUP(R299*$D$4/100/12/(1-(1+$D$4/100/12)^(-Q299)),0),G298+F299),0)</f>
        <v>0</v>
      </c>
      <c r="E299" s="384" t="n">
        <f aca="false">D299-F299</f>
        <v>0</v>
      </c>
      <c r="F299" s="384" t="n">
        <f aca="false">G298*$D$4*(C299-C298)/(DATE(YEAR(C299)+1,1,1)-DATE(YEAR(C299),1,1))/100</f>
        <v>0</v>
      </c>
      <c r="G299" s="385" t="n">
        <f aca="false">G298-E299-L299-M299</f>
        <v>0</v>
      </c>
      <c r="H299" s="386" t="n">
        <f aca="false">IFERROR(I299+J299,0)</f>
        <v>0</v>
      </c>
      <c r="I299" s="384" t="n">
        <f aca="false">IFERROR(IF($D$3/$D$5&lt;K298,$D$3/$D$5,K298),0)</f>
        <v>0</v>
      </c>
      <c r="J299" s="384" t="n">
        <f aca="false">K298*$D$4/12/100</f>
        <v>0</v>
      </c>
      <c r="K299" s="387" t="n">
        <f aca="false">K298-I299-L299-M299</f>
        <v>0</v>
      </c>
      <c r="L299" s="388"/>
      <c r="M299" s="389"/>
      <c r="N299" s="409"/>
      <c r="O299" s="409"/>
      <c r="P299" s="391" t="n">
        <f aca="false">IF(ISBLANK(L298),VALUE(P298),ROW(L298))</f>
        <v>10</v>
      </c>
      <c r="Q299" s="314" t="n">
        <f aca="false">Q298+P298-P299</f>
        <v>12</v>
      </c>
      <c r="R299" s="314" t="n">
        <f aca="false">INDEX(G:G,P299,1)</f>
        <v>69000</v>
      </c>
      <c r="S299" s="312"/>
    </row>
    <row r="300" s="379" customFormat="true" ht="14.9" hidden="false" customHeight="false" outlineLevel="0" collapsed="false">
      <c r="A300" s="380" t="n">
        <v>290</v>
      </c>
      <c r="B300" s="381" t="str">
        <f aca="false">CONCATENATE(INT((A300-1)/12)+1,"-й год ",A300-1-INT((A300-1)/12)*12+1,"-й мес")</f>
        <v>25-й год 2-й мес</v>
      </c>
      <c r="C300" s="382" t="n">
        <f aca="false">DATE(YEAR(C299),MONTH(C299)+1,DAY(C299))</f>
        <v>52688</v>
      </c>
      <c r="D300" s="383" t="n">
        <f aca="false">IFERROR(IF(R300*$D$4/100/12/(1-(1+$D$4/100/12)^(-Q300))&lt;G299,ROUNDUP(R300*$D$4/100/12/(1-(1+$D$4/100/12)^(-Q300)),0),G299+F300),0)</f>
        <v>0</v>
      </c>
      <c r="E300" s="384" t="n">
        <f aca="false">D300-F300</f>
        <v>0</v>
      </c>
      <c r="F300" s="384" t="n">
        <f aca="false">G299*$D$4*(C300-C299)/(DATE(YEAR(C300)+1,1,1)-DATE(YEAR(C300),1,1))/100</f>
        <v>0</v>
      </c>
      <c r="G300" s="385" t="n">
        <f aca="false">G299-E300-L300-M300</f>
        <v>0</v>
      </c>
      <c r="H300" s="386" t="n">
        <f aca="false">IFERROR(I300+J300,0)</f>
        <v>0</v>
      </c>
      <c r="I300" s="384" t="n">
        <f aca="false">IFERROR(IF($D$3/$D$5&lt;K299,$D$3/$D$5,K299),0)</f>
        <v>0</v>
      </c>
      <c r="J300" s="384" t="n">
        <f aca="false">K299*$D$4/12/100</f>
        <v>0</v>
      </c>
      <c r="K300" s="387" t="n">
        <f aca="false">K299-I300-L300-M300</f>
        <v>0</v>
      </c>
      <c r="L300" s="388"/>
      <c r="M300" s="389"/>
      <c r="N300" s="409"/>
      <c r="O300" s="409"/>
      <c r="P300" s="391" t="n">
        <f aca="false">IF(ISBLANK(L299),VALUE(P299),ROW(L299))</f>
        <v>10</v>
      </c>
      <c r="Q300" s="314" t="n">
        <f aca="false">Q299+P299-P300</f>
        <v>12</v>
      </c>
      <c r="R300" s="314" t="n">
        <f aca="false">INDEX(G:G,P300,1)</f>
        <v>69000</v>
      </c>
      <c r="S300" s="312"/>
    </row>
    <row r="301" s="379" customFormat="true" ht="14.9" hidden="false" customHeight="false" outlineLevel="0" collapsed="false">
      <c r="A301" s="380" t="n">
        <v>291</v>
      </c>
      <c r="B301" s="381" t="str">
        <f aca="false">CONCATENATE(INT((A301-1)/12)+1,"-й год ",A301-1-INT((A301-1)/12)*12+1,"-й мес")</f>
        <v>25-й год 3-й мес</v>
      </c>
      <c r="C301" s="382" t="n">
        <f aca="false">DATE(YEAR(C300),MONTH(C300)+1,DAY(C300))</f>
        <v>52718</v>
      </c>
      <c r="D301" s="383" t="n">
        <f aca="false">IFERROR(IF(R301*$D$4/100/12/(1-(1+$D$4/100/12)^(-Q301))&lt;G300,ROUNDUP(R301*$D$4/100/12/(1-(1+$D$4/100/12)^(-Q301)),0),G300+F301),0)</f>
        <v>0</v>
      </c>
      <c r="E301" s="384" t="n">
        <f aca="false">D301-F301</f>
        <v>0</v>
      </c>
      <c r="F301" s="384" t="n">
        <f aca="false">G300*$D$4*(C301-C300)/(DATE(YEAR(C301)+1,1,1)-DATE(YEAR(C301),1,1))/100</f>
        <v>0</v>
      </c>
      <c r="G301" s="385" t="n">
        <f aca="false">G300-E301-L301-M301</f>
        <v>0</v>
      </c>
      <c r="H301" s="386" t="n">
        <f aca="false">IFERROR(I301+J301,0)</f>
        <v>0</v>
      </c>
      <c r="I301" s="384" t="n">
        <f aca="false">IFERROR(IF($D$3/$D$5&lt;K300,$D$3/$D$5,K300),0)</f>
        <v>0</v>
      </c>
      <c r="J301" s="384" t="n">
        <f aca="false">K300*$D$4/12/100</f>
        <v>0</v>
      </c>
      <c r="K301" s="387" t="n">
        <f aca="false">K300-I301-L301-M301</f>
        <v>0</v>
      </c>
      <c r="L301" s="388"/>
      <c r="M301" s="389"/>
      <c r="N301" s="409"/>
      <c r="O301" s="409"/>
      <c r="P301" s="391" t="n">
        <f aca="false">IF(ISBLANK(L300),VALUE(P300),ROW(L300))</f>
        <v>10</v>
      </c>
      <c r="Q301" s="314" t="n">
        <f aca="false">Q300+P300-P301</f>
        <v>12</v>
      </c>
      <c r="R301" s="314" t="n">
        <f aca="false">INDEX(G:G,P301,1)</f>
        <v>69000</v>
      </c>
      <c r="S301" s="312"/>
    </row>
    <row r="302" s="379" customFormat="true" ht="14.9" hidden="false" customHeight="false" outlineLevel="0" collapsed="false">
      <c r="A302" s="380" t="n">
        <v>292</v>
      </c>
      <c r="B302" s="381" t="str">
        <f aca="false">CONCATENATE(INT((A302-1)/12)+1,"-й год ",A302-1-INT((A302-1)/12)*12+1,"-й мес")</f>
        <v>25-й год 4-й мес</v>
      </c>
      <c r="C302" s="382" t="n">
        <f aca="false">DATE(YEAR(C301),MONTH(C301)+1,DAY(C301))</f>
        <v>52749</v>
      </c>
      <c r="D302" s="383" t="n">
        <f aca="false">IFERROR(IF(R302*$D$4/100/12/(1-(1+$D$4/100/12)^(-Q302))&lt;G301,ROUNDUP(R302*$D$4/100/12/(1-(1+$D$4/100/12)^(-Q302)),0),G301+F302),0)</f>
        <v>0</v>
      </c>
      <c r="E302" s="384" t="n">
        <f aca="false">D302-F302</f>
        <v>0</v>
      </c>
      <c r="F302" s="384" t="n">
        <f aca="false">G301*$D$4*(C302-C301)/(DATE(YEAR(C302)+1,1,1)-DATE(YEAR(C302),1,1))/100</f>
        <v>0</v>
      </c>
      <c r="G302" s="385" t="n">
        <f aca="false">G301-E302-L302-M302</f>
        <v>0</v>
      </c>
      <c r="H302" s="386" t="n">
        <f aca="false">IFERROR(I302+J302,0)</f>
        <v>0</v>
      </c>
      <c r="I302" s="384" t="n">
        <f aca="false">IFERROR(IF($D$3/$D$5&lt;K301,$D$3/$D$5,K301),0)</f>
        <v>0</v>
      </c>
      <c r="J302" s="384" t="n">
        <f aca="false">K301*$D$4/12/100</f>
        <v>0</v>
      </c>
      <c r="K302" s="387" t="n">
        <f aca="false">K301-I302-L302-M302</f>
        <v>0</v>
      </c>
      <c r="L302" s="388"/>
      <c r="M302" s="389"/>
      <c r="N302" s="409"/>
      <c r="O302" s="409"/>
      <c r="P302" s="391" t="n">
        <f aca="false">IF(ISBLANK(L301),VALUE(P301),ROW(L301))</f>
        <v>10</v>
      </c>
      <c r="Q302" s="314" t="n">
        <f aca="false">Q301+P301-P302</f>
        <v>12</v>
      </c>
      <c r="R302" s="314" t="n">
        <f aca="false">INDEX(G:G,P302,1)</f>
        <v>69000</v>
      </c>
      <c r="S302" s="312"/>
    </row>
    <row r="303" s="379" customFormat="true" ht="14.9" hidden="false" customHeight="false" outlineLevel="0" collapsed="false">
      <c r="A303" s="380" t="n">
        <v>293</v>
      </c>
      <c r="B303" s="381" t="str">
        <f aca="false">CONCATENATE(INT((A303-1)/12)+1,"-й год ",A303-1-INT((A303-1)/12)*12+1,"-й мес")</f>
        <v>25-й год 5-й мес</v>
      </c>
      <c r="C303" s="382" t="n">
        <f aca="false">DATE(YEAR(C302),MONTH(C302)+1,DAY(C302))</f>
        <v>52779</v>
      </c>
      <c r="D303" s="383" t="n">
        <f aca="false">IFERROR(IF(R303*$D$4/100/12/(1-(1+$D$4/100/12)^(-Q303))&lt;G302,ROUNDUP(R303*$D$4/100/12/(1-(1+$D$4/100/12)^(-Q303)),0),G302+F303),0)</f>
        <v>0</v>
      </c>
      <c r="E303" s="384" t="n">
        <f aca="false">D303-F303</f>
        <v>0</v>
      </c>
      <c r="F303" s="384" t="n">
        <f aca="false">G302*$D$4*(C303-C302)/(DATE(YEAR(C303)+1,1,1)-DATE(YEAR(C303),1,1))/100</f>
        <v>0</v>
      </c>
      <c r="G303" s="385" t="n">
        <f aca="false">G302-E303-L303-M303</f>
        <v>0</v>
      </c>
      <c r="H303" s="386" t="n">
        <f aca="false">IFERROR(I303+J303,0)</f>
        <v>0</v>
      </c>
      <c r="I303" s="384" t="n">
        <f aca="false">IFERROR(IF($D$3/$D$5&lt;K302,$D$3/$D$5,K302),0)</f>
        <v>0</v>
      </c>
      <c r="J303" s="384" t="n">
        <f aca="false">K302*$D$4/12/100</f>
        <v>0</v>
      </c>
      <c r="K303" s="387" t="n">
        <f aca="false">K302-I303-L303-M303</f>
        <v>0</v>
      </c>
      <c r="L303" s="388"/>
      <c r="M303" s="389"/>
      <c r="N303" s="409"/>
      <c r="O303" s="409"/>
      <c r="P303" s="391" t="n">
        <f aca="false">IF(ISBLANK(L302),VALUE(P302),ROW(L302))</f>
        <v>10</v>
      </c>
      <c r="Q303" s="314" t="n">
        <f aca="false">Q302+P302-P303</f>
        <v>12</v>
      </c>
      <c r="R303" s="314" t="n">
        <f aca="false">INDEX(G:G,P303,1)</f>
        <v>69000</v>
      </c>
      <c r="S303" s="312"/>
    </row>
    <row r="304" s="379" customFormat="true" ht="14.9" hidden="false" customHeight="false" outlineLevel="0" collapsed="false">
      <c r="A304" s="380" t="n">
        <v>294</v>
      </c>
      <c r="B304" s="381" t="str">
        <f aca="false">CONCATENATE(INT((A304-1)/12)+1,"-й год ",A304-1-INT((A304-1)/12)*12+1,"-й мес")</f>
        <v>25-й год 6-й мес</v>
      </c>
      <c r="C304" s="382" t="n">
        <f aca="false">DATE(YEAR(C303),MONTH(C303)+1,DAY(C303))</f>
        <v>52810</v>
      </c>
      <c r="D304" s="383" t="n">
        <f aca="false">IFERROR(IF(R304*$D$4/100/12/(1-(1+$D$4/100/12)^(-Q304))&lt;G303,ROUNDUP(R304*$D$4/100/12/(1-(1+$D$4/100/12)^(-Q304)),0),G303+F304),0)</f>
        <v>0</v>
      </c>
      <c r="E304" s="384" t="n">
        <f aca="false">D304-F304</f>
        <v>0</v>
      </c>
      <c r="F304" s="384" t="n">
        <f aca="false">G303*$D$4*(C304-C303)/(DATE(YEAR(C304)+1,1,1)-DATE(YEAR(C304),1,1))/100</f>
        <v>0</v>
      </c>
      <c r="G304" s="385" t="n">
        <f aca="false">G303-E304-L304-M304</f>
        <v>0</v>
      </c>
      <c r="H304" s="386" t="n">
        <f aca="false">IFERROR(I304+J304,0)</f>
        <v>0</v>
      </c>
      <c r="I304" s="384" t="n">
        <f aca="false">IFERROR(IF($D$3/$D$5&lt;K303,$D$3/$D$5,K303),0)</f>
        <v>0</v>
      </c>
      <c r="J304" s="384" t="n">
        <f aca="false">K303*$D$4/12/100</f>
        <v>0</v>
      </c>
      <c r="K304" s="387" t="n">
        <f aca="false">K303-I304-L304-M304</f>
        <v>0</v>
      </c>
      <c r="L304" s="388"/>
      <c r="M304" s="389"/>
      <c r="N304" s="409"/>
      <c r="O304" s="409"/>
      <c r="P304" s="391" t="n">
        <f aca="false">IF(ISBLANK(L303),VALUE(P303),ROW(L303))</f>
        <v>10</v>
      </c>
      <c r="Q304" s="314" t="n">
        <f aca="false">Q303+P303-P304</f>
        <v>12</v>
      </c>
      <c r="R304" s="314" t="n">
        <f aca="false">INDEX(G:G,P304,1)</f>
        <v>69000</v>
      </c>
      <c r="S304" s="312"/>
    </row>
    <row r="305" s="379" customFormat="true" ht="14.9" hidden="false" customHeight="false" outlineLevel="0" collapsed="false">
      <c r="A305" s="380" t="n">
        <v>295</v>
      </c>
      <c r="B305" s="381" t="str">
        <f aca="false">CONCATENATE(INT((A305-1)/12)+1,"-й год ",A305-1-INT((A305-1)/12)*12+1,"-й мес")</f>
        <v>25-й год 7-й мес</v>
      </c>
      <c r="C305" s="382" t="n">
        <f aca="false">DATE(YEAR(C304),MONTH(C304)+1,DAY(C304))</f>
        <v>52841</v>
      </c>
      <c r="D305" s="383" t="n">
        <f aca="false">IFERROR(IF(R305*$D$4/100/12/(1-(1+$D$4/100/12)^(-Q305))&lt;G304,ROUNDUP(R305*$D$4/100/12/(1-(1+$D$4/100/12)^(-Q305)),0),G304+F305),0)</f>
        <v>0</v>
      </c>
      <c r="E305" s="384" t="n">
        <f aca="false">D305-F305</f>
        <v>0</v>
      </c>
      <c r="F305" s="384" t="n">
        <f aca="false">G304*$D$4*(C305-C304)/(DATE(YEAR(C305)+1,1,1)-DATE(YEAR(C305),1,1))/100</f>
        <v>0</v>
      </c>
      <c r="G305" s="385" t="n">
        <f aca="false">G304-E305-L305-M305</f>
        <v>0</v>
      </c>
      <c r="H305" s="386" t="n">
        <f aca="false">IFERROR(I305+J305,0)</f>
        <v>0</v>
      </c>
      <c r="I305" s="384" t="n">
        <f aca="false">IFERROR(IF($D$3/$D$5&lt;K304,$D$3/$D$5,K304),0)</f>
        <v>0</v>
      </c>
      <c r="J305" s="384" t="n">
        <f aca="false">K304*$D$4/12/100</f>
        <v>0</v>
      </c>
      <c r="K305" s="387" t="n">
        <f aca="false">K304-I305-L305-M305</f>
        <v>0</v>
      </c>
      <c r="L305" s="388"/>
      <c r="M305" s="389"/>
      <c r="N305" s="409"/>
      <c r="O305" s="409"/>
      <c r="P305" s="391" t="n">
        <f aca="false">IF(ISBLANK(L304),VALUE(P304),ROW(L304))</f>
        <v>10</v>
      </c>
      <c r="Q305" s="314" t="n">
        <f aca="false">Q304+P304-P305</f>
        <v>12</v>
      </c>
      <c r="R305" s="314" t="n">
        <f aca="false">INDEX(G:G,P305,1)</f>
        <v>69000</v>
      </c>
      <c r="S305" s="312"/>
    </row>
    <row r="306" s="379" customFormat="true" ht="14.9" hidden="false" customHeight="false" outlineLevel="0" collapsed="false">
      <c r="A306" s="380" t="n">
        <v>296</v>
      </c>
      <c r="B306" s="381" t="str">
        <f aca="false">CONCATENATE(INT((A306-1)/12)+1,"-й год ",A306-1-INT((A306-1)/12)*12+1,"-й мес")</f>
        <v>25-й год 8-й мес</v>
      </c>
      <c r="C306" s="382" t="n">
        <f aca="false">DATE(YEAR(C305),MONTH(C305)+1,DAY(C305))</f>
        <v>52871</v>
      </c>
      <c r="D306" s="383" t="n">
        <f aca="false">IFERROR(IF(R306*$D$4/100/12/(1-(1+$D$4/100/12)^(-Q306))&lt;G305,ROUNDUP(R306*$D$4/100/12/(1-(1+$D$4/100/12)^(-Q306)),0),G305+F306),0)</f>
        <v>0</v>
      </c>
      <c r="E306" s="384" t="n">
        <f aca="false">D306-F306</f>
        <v>0</v>
      </c>
      <c r="F306" s="384" t="n">
        <f aca="false">G305*$D$4*(C306-C305)/(DATE(YEAR(C306)+1,1,1)-DATE(YEAR(C306),1,1))/100</f>
        <v>0</v>
      </c>
      <c r="G306" s="385" t="n">
        <f aca="false">G305-E306-L306-M306</f>
        <v>0</v>
      </c>
      <c r="H306" s="386" t="n">
        <f aca="false">IFERROR(I306+J306,0)</f>
        <v>0</v>
      </c>
      <c r="I306" s="384" t="n">
        <f aca="false">IFERROR(IF($D$3/$D$5&lt;K305,$D$3/$D$5,K305),0)</f>
        <v>0</v>
      </c>
      <c r="J306" s="384" t="n">
        <f aca="false">K305*$D$4/12/100</f>
        <v>0</v>
      </c>
      <c r="K306" s="387" t="n">
        <f aca="false">K305-I306-L306-M306</f>
        <v>0</v>
      </c>
      <c r="L306" s="388"/>
      <c r="M306" s="389"/>
      <c r="N306" s="409"/>
      <c r="O306" s="409"/>
      <c r="P306" s="391" t="n">
        <f aca="false">IF(ISBLANK(L305),VALUE(P305),ROW(L305))</f>
        <v>10</v>
      </c>
      <c r="Q306" s="314" t="n">
        <f aca="false">Q305+P305-P306</f>
        <v>12</v>
      </c>
      <c r="R306" s="314" t="n">
        <f aca="false">INDEX(G:G,P306,1)</f>
        <v>69000</v>
      </c>
      <c r="S306" s="312"/>
    </row>
    <row r="307" s="379" customFormat="true" ht="14.9" hidden="false" customHeight="false" outlineLevel="0" collapsed="false">
      <c r="A307" s="380" t="n">
        <v>297</v>
      </c>
      <c r="B307" s="381" t="str">
        <f aca="false">CONCATENATE(INT((A307-1)/12)+1,"-й год ",A307-1-INT((A307-1)/12)*12+1,"-й мес")</f>
        <v>25-й год 9-й мес</v>
      </c>
      <c r="C307" s="382" t="n">
        <f aca="false">DATE(YEAR(C306),MONTH(C306)+1,DAY(C306))</f>
        <v>52902</v>
      </c>
      <c r="D307" s="383" t="n">
        <f aca="false">IFERROR(IF(R307*$D$4/100/12/(1-(1+$D$4/100/12)^(-Q307))&lt;G306,ROUNDUP(R307*$D$4/100/12/(1-(1+$D$4/100/12)^(-Q307)),0),G306+F307),0)</f>
        <v>0</v>
      </c>
      <c r="E307" s="384" t="n">
        <f aca="false">D307-F307</f>
        <v>0</v>
      </c>
      <c r="F307" s="384" t="n">
        <f aca="false">G306*$D$4*(C307-C306)/(DATE(YEAR(C307)+1,1,1)-DATE(YEAR(C307),1,1))/100</f>
        <v>0</v>
      </c>
      <c r="G307" s="385" t="n">
        <f aca="false">G306-E307-L307-M307</f>
        <v>0</v>
      </c>
      <c r="H307" s="386" t="n">
        <f aca="false">IFERROR(I307+J307,0)</f>
        <v>0</v>
      </c>
      <c r="I307" s="384" t="n">
        <f aca="false">IFERROR(IF($D$3/$D$5&lt;K306,$D$3/$D$5,K306),0)</f>
        <v>0</v>
      </c>
      <c r="J307" s="384" t="n">
        <f aca="false">K306*$D$4/12/100</f>
        <v>0</v>
      </c>
      <c r="K307" s="387" t="n">
        <f aca="false">K306-I307-L307-M307</f>
        <v>0</v>
      </c>
      <c r="L307" s="388"/>
      <c r="M307" s="389"/>
      <c r="N307" s="409"/>
      <c r="O307" s="409"/>
      <c r="P307" s="391" t="n">
        <f aca="false">IF(ISBLANK(L306),VALUE(P306),ROW(L306))</f>
        <v>10</v>
      </c>
      <c r="Q307" s="314" t="n">
        <f aca="false">Q306+P306-P307</f>
        <v>12</v>
      </c>
      <c r="R307" s="314" t="n">
        <f aca="false">INDEX(G:G,P307,1)</f>
        <v>69000</v>
      </c>
      <c r="S307" s="312"/>
    </row>
    <row r="308" s="379" customFormat="true" ht="14.9" hidden="false" customHeight="false" outlineLevel="0" collapsed="false">
      <c r="A308" s="380" t="n">
        <v>298</v>
      </c>
      <c r="B308" s="381" t="str">
        <f aca="false">CONCATENATE(INT((A308-1)/12)+1,"-й год ",A308-1-INT((A308-1)/12)*12+1,"-й мес")</f>
        <v>25-й год 10-й мес</v>
      </c>
      <c r="C308" s="382" t="n">
        <f aca="false">DATE(YEAR(C307),MONTH(C307)+1,DAY(C307))</f>
        <v>52932</v>
      </c>
      <c r="D308" s="383" t="n">
        <f aca="false">IFERROR(IF(R308*$D$4/100/12/(1-(1+$D$4/100/12)^(-Q308))&lt;G307,ROUNDUP(R308*$D$4/100/12/(1-(1+$D$4/100/12)^(-Q308)),0),G307+F308),0)</f>
        <v>0</v>
      </c>
      <c r="E308" s="384" t="n">
        <f aca="false">D308-F308</f>
        <v>0</v>
      </c>
      <c r="F308" s="384" t="n">
        <f aca="false">G307*$D$4*(C308-C307)/(DATE(YEAR(C308)+1,1,1)-DATE(YEAR(C308),1,1))/100</f>
        <v>0</v>
      </c>
      <c r="G308" s="385" t="n">
        <f aca="false">G307-E308-L308-M308</f>
        <v>0</v>
      </c>
      <c r="H308" s="386" t="n">
        <f aca="false">IFERROR(I308+J308,0)</f>
        <v>0</v>
      </c>
      <c r="I308" s="384" t="n">
        <f aca="false">IFERROR(IF($D$3/$D$5&lt;K307,$D$3/$D$5,K307),0)</f>
        <v>0</v>
      </c>
      <c r="J308" s="384" t="n">
        <f aca="false">K307*$D$4/12/100</f>
        <v>0</v>
      </c>
      <c r="K308" s="387" t="n">
        <f aca="false">K307-I308-L308-M308</f>
        <v>0</v>
      </c>
      <c r="L308" s="388"/>
      <c r="M308" s="389"/>
      <c r="N308" s="409"/>
      <c r="O308" s="409"/>
      <c r="P308" s="391" t="n">
        <f aca="false">IF(ISBLANK(L307),VALUE(P307),ROW(L307))</f>
        <v>10</v>
      </c>
      <c r="Q308" s="314" t="n">
        <f aca="false">Q307+P307-P308</f>
        <v>12</v>
      </c>
      <c r="R308" s="314" t="n">
        <f aca="false">INDEX(G:G,P308,1)</f>
        <v>69000</v>
      </c>
      <c r="S308" s="312"/>
    </row>
    <row r="309" s="379" customFormat="true" ht="14.9" hidden="false" customHeight="false" outlineLevel="0" collapsed="false">
      <c r="A309" s="380" t="n">
        <v>299</v>
      </c>
      <c r="B309" s="381" t="str">
        <f aca="false">CONCATENATE(INT((A309-1)/12)+1,"-й год ",A309-1-INT((A309-1)/12)*12+1,"-й мес")</f>
        <v>25-й год 11-й мес</v>
      </c>
      <c r="C309" s="382" t="n">
        <f aca="false">DATE(YEAR(C308),MONTH(C308)+1,DAY(C308))</f>
        <v>52963</v>
      </c>
      <c r="D309" s="383" t="n">
        <f aca="false">IFERROR(IF(R309*$D$4/100/12/(1-(1+$D$4/100/12)^(-Q309))&lt;G308,ROUNDUP(R309*$D$4/100/12/(1-(1+$D$4/100/12)^(-Q309)),0),G308+F309),0)</f>
        <v>0</v>
      </c>
      <c r="E309" s="384" t="n">
        <f aca="false">D309-F309</f>
        <v>0</v>
      </c>
      <c r="F309" s="384" t="n">
        <f aca="false">G308*$D$4*(C309-C308)/(DATE(YEAR(C309)+1,1,1)-DATE(YEAR(C309),1,1))/100</f>
        <v>0</v>
      </c>
      <c r="G309" s="385" t="n">
        <f aca="false">G308-E309-L309-M309</f>
        <v>0</v>
      </c>
      <c r="H309" s="386" t="n">
        <f aca="false">IFERROR(I309+J309,0)</f>
        <v>0</v>
      </c>
      <c r="I309" s="384" t="n">
        <f aca="false">IFERROR(IF($D$3/$D$5&lt;K308,$D$3/$D$5,K308),0)</f>
        <v>0</v>
      </c>
      <c r="J309" s="384" t="n">
        <f aca="false">K308*$D$4/12/100</f>
        <v>0</v>
      </c>
      <c r="K309" s="387" t="n">
        <f aca="false">K308-I309-L309-M309</f>
        <v>0</v>
      </c>
      <c r="L309" s="388"/>
      <c r="M309" s="389"/>
      <c r="N309" s="409"/>
      <c r="O309" s="409"/>
      <c r="P309" s="391" t="n">
        <f aca="false">IF(ISBLANK(L308),VALUE(P308),ROW(L308))</f>
        <v>10</v>
      </c>
      <c r="Q309" s="314" t="n">
        <f aca="false">Q308+P308-P309</f>
        <v>12</v>
      </c>
      <c r="R309" s="314" t="n">
        <f aca="false">INDEX(G:G,P309,1)</f>
        <v>69000</v>
      </c>
      <c r="S309" s="312"/>
    </row>
    <row r="310" s="379" customFormat="true" ht="14.9" hidden="false" customHeight="false" outlineLevel="0" collapsed="false">
      <c r="A310" s="380" t="n">
        <v>300</v>
      </c>
      <c r="B310" s="392" t="str">
        <f aca="false">CONCATENATE(INT((A310-1)/12)+1,"-й год ",A310-1-INT((A310-1)/12)*12+1,"-й мес")</f>
        <v>25-й год 12-й мес</v>
      </c>
      <c r="C310" s="393" t="n">
        <f aca="false">DATE(YEAR(C309),MONTH(C309)+1,DAY(C309))</f>
        <v>52994</v>
      </c>
      <c r="D310" s="394" t="n">
        <f aca="false">IFERROR(IF(R310*$D$4/100/12/(1-(1+$D$4/100/12)^(-Q310))&lt;G309,ROUNDUP(R310*$D$4/100/12/(1-(1+$D$4/100/12)^(-Q310)),0),G309+F310),0)</f>
        <v>0</v>
      </c>
      <c r="E310" s="395" t="n">
        <f aca="false">D310-F310</f>
        <v>0</v>
      </c>
      <c r="F310" s="395" t="n">
        <f aca="false">G309*$D$4*(C310-C309)/(DATE(YEAR(C310)+1,1,1)-DATE(YEAR(C310),1,1))/100</f>
        <v>0</v>
      </c>
      <c r="G310" s="385" t="n">
        <f aca="false">G309-E310-L310-M310</f>
        <v>0</v>
      </c>
      <c r="H310" s="386" t="n">
        <f aca="false">IFERROR(I310+J310,0)</f>
        <v>0</v>
      </c>
      <c r="I310" s="384" t="n">
        <f aca="false">IFERROR(IF($D$3/$D$5&lt;K309,$D$3/$D$5,K309),0)</f>
        <v>0</v>
      </c>
      <c r="J310" s="384" t="n">
        <f aca="false">K309*$D$4/12/100</f>
        <v>0</v>
      </c>
      <c r="K310" s="387" t="n">
        <f aca="false">K309-I310-L310-M310</f>
        <v>0</v>
      </c>
      <c r="L310" s="388"/>
      <c r="M310" s="389"/>
      <c r="N310" s="409"/>
      <c r="O310" s="409"/>
      <c r="P310" s="391" t="n">
        <f aca="false">IF(ISBLANK(L309),VALUE(P309),ROW(L309))</f>
        <v>10</v>
      </c>
      <c r="Q310" s="314" t="n">
        <f aca="false">Q309+P309-P310</f>
        <v>12</v>
      </c>
      <c r="R310" s="314" t="n">
        <f aca="false">INDEX(G:G,P310,1)</f>
        <v>69000</v>
      </c>
      <c r="S310" s="312"/>
    </row>
    <row r="311" s="379" customFormat="true" ht="14.9" hidden="false" customHeight="false" outlineLevel="0" collapsed="false">
      <c r="A311" s="396" t="n">
        <v>301</v>
      </c>
      <c r="B311" s="381" t="str">
        <f aca="false">CONCATENATE(INT((A311-1)/12)+1,"-й год ",A311-1-INT((A311-1)/12)*12+1,"-й мес")</f>
        <v>26-й год 1-й мес</v>
      </c>
      <c r="C311" s="382" t="n">
        <f aca="false">DATE(YEAR(C310),MONTH(C310)+1,DAY(C310))</f>
        <v>53022</v>
      </c>
      <c r="D311" s="383" t="n">
        <f aca="false">IFERROR(IF(R311*$D$4/100/12/(1-(1+$D$4/100/12)^(-Q311))&lt;G310,ROUNDUP(R311*$D$4/100/12/(1-(1+$D$4/100/12)^(-Q311)),0),G310+F311),0)</f>
        <v>0</v>
      </c>
      <c r="E311" s="384" t="n">
        <f aca="false">D311-F311</f>
        <v>0</v>
      </c>
      <c r="F311" s="384" t="n">
        <f aca="false">G310*$D$4*(C311-C310)/(DATE(YEAR(C311)+1,1,1)-DATE(YEAR(C311),1,1))/100</f>
        <v>0</v>
      </c>
      <c r="G311" s="397" t="n">
        <f aca="false">G310-E311-L311-M311</f>
        <v>0</v>
      </c>
      <c r="H311" s="398" t="n">
        <f aca="false">IFERROR(I311+J311,0)</f>
        <v>0</v>
      </c>
      <c r="I311" s="399" t="n">
        <f aca="false">IFERROR(IF($D$3/$D$5&lt;K310,$D$3/$D$5,K310),0)</f>
        <v>0</v>
      </c>
      <c r="J311" s="399" t="n">
        <f aca="false">K310*$D$4/12/100</f>
        <v>0</v>
      </c>
      <c r="K311" s="400" t="n">
        <f aca="false">K310-I311-L311-M311</f>
        <v>0</v>
      </c>
      <c r="L311" s="401"/>
      <c r="M311" s="402"/>
      <c r="N311" s="409"/>
      <c r="O311" s="409"/>
      <c r="P311" s="391" t="n">
        <f aca="false">IF(ISBLANK(L310),VALUE(P310),ROW(L310))</f>
        <v>10</v>
      </c>
      <c r="Q311" s="314" t="n">
        <f aca="false">Q310+P310-P311</f>
        <v>12</v>
      </c>
      <c r="R311" s="314" t="n">
        <f aca="false">INDEX(G:G,P311,1)</f>
        <v>69000</v>
      </c>
      <c r="S311" s="312"/>
    </row>
    <row r="312" s="379" customFormat="true" ht="14.9" hidden="false" customHeight="false" outlineLevel="0" collapsed="false">
      <c r="A312" s="403" t="n">
        <v>302</v>
      </c>
      <c r="B312" s="381" t="str">
        <f aca="false">CONCATENATE(INT((A312-1)/12)+1,"-й год ",A312-1-INT((A312-1)/12)*12+1,"-й мес")</f>
        <v>26-й год 2-й мес</v>
      </c>
      <c r="C312" s="382" t="n">
        <f aca="false">DATE(YEAR(C311),MONTH(C311)+1,DAY(C311))</f>
        <v>53053</v>
      </c>
      <c r="D312" s="383" t="n">
        <f aca="false">IFERROR(IF(R312*$D$4/100/12/(1-(1+$D$4/100/12)^(-Q312))&lt;G311,ROUNDUP(R312*$D$4/100/12/(1-(1+$D$4/100/12)^(-Q312)),0),G311+F312),0)</f>
        <v>0</v>
      </c>
      <c r="E312" s="384" t="n">
        <f aca="false">D312-F312</f>
        <v>0</v>
      </c>
      <c r="F312" s="384" t="n">
        <f aca="false">G311*$D$4*(C312-C311)/(DATE(YEAR(C312)+1,1,1)-DATE(YEAR(C312),1,1))/100</f>
        <v>0</v>
      </c>
      <c r="G312" s="385" t="n">
        <f aca="false">G311-E312-L312-M312</f>
        <v>0</v>
      </c>
      <c r="H312" s="386" t="n">
        <f aca="false">IFERROR(I312+J312,0)</f>
        <v>0</v>
      </c>
      <c r="I312" s="384" t="n">
        <f aca="false">IFERROR(IF($D$3/$D$5&lt;K311,$D$3/$D$5,K311),0)</f>
        <v>0</v>
      </c>
      <c r="J312" s="384" t="n">
        <f aca="false">K311*$D$4/12/100</f>
        <v>0</v>
      </c>
      <c r="K312" s="387" t="n">
        <f aca="false">K311-I312-L312-M312</f>
        <v>0</v>
      </c>
      <c r="L312" s="388"/>
      <c r="M312" s="389"/>
      <c r="N312" s="409"/>
      <c r="O312" s="409"/>
      <c r="P312" s="391" t="n">
        <f aca="false">IF(ISBLANK(L311),VALUE(P311),ROW(L311))</f>
        <v>10</v>
      </c>
      <c r="Q312" s="314" t="n">
        <f aca="false">Q311+P311-P312</f>
        <v>12</v>
      </c>
      <c r="R312" s="314" t="n">
        <f aca="false">INDEX(G:G,P312,1)</f>
        <v>69000</v>
      </c>
      <c r="S312" s="312"/>
    </row>
    <row r="313" s="379" customFormat="true" ht="14.9" hidden="false" customHeight="false" outlineLevel="0" collapsed="false">
      <c r="A313" s="403" t="n">
        <v>303</v>
      </c>
      <c r="B313" s="381" t="str">
        <f aca="false">CONCATENATE(INT((A313-1)/12)+1,"-й год ",A313-1-INT((A313-1)/12)*12+1,"-й мес")</f>
        <v>26-й год 3-й мес</v>
      </c>
      <c r="C313" s="382" t="n">
        <f aca="false">DATE(YEAR(C312),MONTH(C312)+1,DAY(C312))</f>
        <v>53083</v>
      </c>
      <c r="D313" s="383" t="n">
        <f aca="false">IFERROR(IF(R313*$D$4/100/12/(1-(1+$D$4/100/12)^(-Q313))&lt;G312,ROUNDUP(R313*$D$4/100/12/(1-(1+$D$4/100/12)^(-Q313)),0),G312+F313),0)</f>
        <v>0</v>
      </c>
      <c r="E313" s="384" t="n">
        <f aca="false">D313-F313</f>
        <v>0</v>
      </c>
      <c r="F313" s="384" t="n">
        <f aca="false">G312*$D$4*(C313-C312)/(DATE(YEAR(C313)+1,1,1)-DATE(YEAR(C313),1,1))/100</f>
        <v>0</v>
      </c>
      <c r="G313" s="385" t="n">
        <f aca="false">G312-E313-L313-M313</f>
        <v>0</v>
      </c>
      <c r="H313" s="386" t="n">
        <f aca="false">IFERROR(I313+J313,0)</f>
        <v>0</v>
      </c>
      <c r="I313" s="384" t="n">
        <f aca="false">IFERROR(IF($D$3/$D$5&lt;K312,$D$3/$D$5,K312),0)</f>
        <v>0</v>
      </c>
      <c r="J313" s="384" t="n">
        <f aca="false">K312*$D$4/12/100</f>
        <v>0</v>
      </c>
      <c r="K313" s="387" t="n">
        <f aca="false">K312-I313-L313-M313</f>
        <v>0</v>
      </c>
      <c r="L313" s="388"/>
      <c r="M313" s="389"/>
      <c r="N313" s="409"/>
      <c r="O313" s="409"/>
      <c r="P313" s="391" t="n">
        <f aca="false">IF(ISBLANK(L312),VALUE(P312),ROW(L312))</f>
        <v>10</v>
      </c>
      <c r="Q313" s="314" t="n">
        <f aca="false">Q312+P312-P313</f>
        <v>12</v>
      </c>
      <c r="R313" s="314" t="n">
        <f aca="false">INDEX(G:G,P313,1)</f>
        <v>69000</v>
      </c>
      <c r="S313" s="312"/>
    </row>
    <row r="314" s="379" customFormat="true" ht="14.9" hidden="false" customHeight="false" outlineLevel="0" collapsed="false">
      <c r="A314" s="403" t="n">
        <v>304</v>
      </c>
      <c r="B314" s="381" t="str">
        <f aca="false">CONCATENATE(INT((A314-1)/12)+1,"-й год ",A314-1-INT((A314-1)/12)*12+1,"-й мес")</f>
        <v>26-й год 4-й мес</v>
      </c>
      <c r="C314" s="382" t="n">
        <f aca="false">DATE(YEAR(C313),MONTH(C313)+1,DAY(C313))</f>
        <v>53114</v>
      </c>
      <c r="D314" s="383" t="n">
        <f aca="false">IFERROR(IF(R314*$D$4/100/12/(1-(1+$D$4/100/12)^(-Q314))&lt;G313,ROUNDUP(R314*$D$4/100/12/(1-(1+$D$4/100/12)^(-Q314)),0),G313+F314),0)</f>
        <v>0</v>
      </c>
      <c r="E314" s="384" t="n">
        <f aca="false">D314-F314</f>
        <v>0</v>
      </c>
      <c r="F314" s="384" t="n">
        <f aca="false">G313*$D$4*(C314-C313)/(DATE(YEAR(C314)+1,1,1)-DATE(YEAR(C314),1,1))/100</f>
        <v>0</v>
      </c>
      <c r="G314" s="385" t="n">
        <f aca="false">G313-E314-L314-M314</f>
        <v>0</v>
      </c>
      <c r="H314" s="386" t="n">
        <f aca="false">IFERROR(I314+J314,0)</f>
        <v>0</v>
      </c>
      <c r="I314" s="384" t="n">
        <f aca="false">IFERROR(IF($D$3/$D$5&lt;K313,$D$3/$D$5,K313),0)</f>
        <v>0</v>
      </c>
      <c r="J314" s="384" t="n">
        <f aca="false">K313*$D$4/12/100</f>
        <v>0</v>
      </c>
      <c r="K314" s="387" t="n">
        <f aca="false">K313-I314-L314-M314</f>
        <v>0</v>
      </c>
      <c r="L314" s="388"/>
      <c r="M314" s="389"/>
      <c r="N314" s="409"/>
      <c r="O314" s="409"/>
      <c r="P314" s="391" t="n">
        <f aca="false">IF(ISBLANK(L313),VALUE(P313),ROW(L313))</f>
        <v>10</v>
      </c>
      <c r="Q314" s="314" t="n">
        <f aca="false">Q313+P313-P314</f>
        <v>12</v>
      </c>
      <c r="R314" s="314" t="n">
        <f aca="false">INDEX(G:G,P314,1)</f>
        <v>69000</v>
      </c>
      <c r="S314" s="312"/>
    </row>
    <row r="315" s="379" customFormat="true" ht="14.9" hidden="false" customHeight="false" outlineLevel="0" collapsed="false">
      <c r="A315" s="403" t="n">
        <v>305</v>
      </c>
      <c r="B315" s="381" t="str">
        <f aca="false">CONCATENATE(INT((A315-1)/12)+1,"-й год ",A315-1-INT((A315-1)/12)*12+1,"-й мес")</f>
        <v>26-й год 5-й мес</v>
      </c>
      <c r="C315" s="382" t="n">
        <f aca="false">DATE(YEAR(C314),MONTH(C314)+1,DAY(C314))</f>
        <v>53144</v>
      </c>
      <c r="D315" s="383" t="n">
        <f aca="false">IFERROR(IF(R315*$D$4/100/12/(1-(1+$D$4/100/12)^(-Q315))&lt;G314,ROUNDUP(R315*$D$4/100/12/(1-(1+$D$4/100/12)^(-Q315)),0),G314+F315),0)</f>
        <v>0</v>
      </c>
      <c r="E315" s="384" t="n">
        <f aca="false">D315-F315</f>
        <v>0</v>
      </c>
      <c r="F315" s="384" t="n">
        <f aca="false">G314*$D$4*(C315-C314)/(DATE(YEAR(C315)+1,1,1)-DATE(YEAR(C315),1,1))/100</f>
        <v>0</v>
      </c>
      <c r="G315" s="385" t="n">
        <f aca="false">G314-E315-L315-M315</f>
        <v>0</v>
      </c>
      <c r="H315" s="386" t="n">
        <f aca="false">IFERROR(I315+J315,0)</f>
        <v>0</v>
      </c>
      <c r="I315" s="384" t="n">
        <f aca="false">IFERROR(IF($D$3/$D$5&lt;K314,$D$3/$D$5,K314),0)</f>
        <v>0</v>
      </c>
      <c r="J315" s="384" t="n">
        <f aca="false">K314*$D$4/12/100</f>
        <v>0</v>
      </c>
      <c r="K315" s="387" t="n">
        <f aca="false">K314-I315-L315-M315</f>
        <v>0</v>
      </c>
      <c r="L315" s="388"/>
      <c r="M315" s="389"/>
      <c r="N315" s="409"/>
      <c r="O315" s="409"/>
      <c r="P315" s="391" t="n">
        <f aca="false">IF(ISBLANK(L314),VALUE(P314),ROW(L314))</f>
        <v>10</v>
      </c>
      <c r="Q315" s="314" t="n">
        <f aca="false">Q314+P314-P315</f>
        <v>12</v>
      </c>
      <c r="R315" s="314" t="n">
        <f aca="false">INDEX(G:G,P315,1)</f>
        <v>69000</v>
      </c>
      <c r="S315" s="312"/>
    </row>
    <row r="316" s="379" customFormat="true" ht="14.9" hidden="false" customHeight="false" outlineLevel="0" collapsed="false">
      <c r="A316" s="403" t="n">
        <v>306</v>
      </c>
      <c r="B316" s="381" t="str">
        <f aca="false">CONCATENATE(INT((A316-1)/12)+1,"-й год ",A316-1-INT((A316-1)/12)*12+1,"-й мес")</f>
        <v>26-й год 6-й мес</v>
      </c>
      <c r="C316" s="382" t="n">
        <f aca="false">DATE(YEAR(C315),MONTH(C315)+1,DAY(C315))</f>
        <v>53175</v>
      </c>
      <c r="D316" s="383" t="n">
        <f aca="false">IFERROR(IF(R316*$D$4/100/12/(1-(1+$D$4/100/12)^(-Q316))&lt;G315,ROUNDUP(R316*$D$4/100/12/(1-(1+$D$4/100/12)^(-Q316)),0),G315+F316),0)</f>
        <v>0</v>
      </c>
      <c r="E316" s="384" t="n">
        <f aca="false">D316-F316</f>
        <v>0</v>
      </c>
      <c r="F316" s="384" t="n">
        <f aca="false">G315*$D$4*(C316-C315)/(DATE(YEAR(C316)+1,1,1)-DATE(YEAR(C316),1,1))/100</f>
        <v>0</v>
      </c>
      <c r="G316" s="385" t="n">
        <f aca="false">G315-E316-L316-M316</f>
        <v>0</v>
      </c>
      <c r="H316" s="386" t="n">
        <f aca="false">IFERROR(I316+J316,0)</f>
        <v>0</v>
      </c>
      <c r="I316" s="384" t="n">
        <f aca="false">IFERROR(IF($D$3/$D$5&lt;K315,$D$3/$D$5,K315),0)</f>
        <v>0</v>
      </c>
      <c r="J316" s="384" t="n">
        <f aca="false">K315*$D$4/12/100</f>
        <v>0</v>
      </c>
      <c r="K316" s="387" t="n">
        <f aca="false">K315-I316-L316-M316</f>
        <v>0</v>
      </c>
      <c r="L316" s="388"/>
      <c r="M316" s="389"/>
      <c r="N316" s="409"/>
      <c r="O316" s="409"/>
      <c r="P316" s="391" t="n">
        <f aca="false">IF(ISBLANK(L315),VALUE(P315),ROW(L315))</f>
        <v>10</v>
      </c>
      <c r="Q316" s="314" t="n">
        <f aca="false">Q315+P315-P316</f>
        <v>12</v>
      </c>
      <c r="R316" s="314" t="n">
        <f aca="false">INDEX(G:G,P316,1)</f>
        <v>69000</v>
      </c>
      <c r="S316" s="312"/>
    </row>
    <row r="317" s="379" customFormat="true" ht="14.9" hidden="false" customHeight="false" outlineLevel="0" collapsed="false">
      <c r="A317" s="403" t="n">
        <v>307</v>
      </c>
      <c r="B317" s="381" t="str">
        <f aca="false">CONCATENATE(INT((A317-1)/12)+1,"-й год ",A317-1-INT((A317-1)/12)*12+1,"-й мес")</f>
        <v>26-й год 7-й мес</v>
      </c>
      <c r="C317" s="382" t="n">
        <f aca="false">DATE(YEAR(C316),MONTH(C316)+1,DAY(C316))</f>
        <v>53206</v>
      </c>
      <c r="D317" s="383" t="n">
        <f aca="false">IFERROR(IF(R317*$D$4/100/12/(1-(1+$D$4/100/12)^(-Q317))&lt;G316,ROUNDUP(R317*$D$4/100/12/(1-(1+$D$4/100/12)^(-Q317)),0),G316+F317),0)</f>
        <v>0</v>
      </c>
      <c r="E317" s="384" t="n">
        <f aca="false">D317-F317</f>
        <v>0</v>
      </c>
      <c r="F317" s="384" t="n">
        <f aca="false">G316*$D$4*(C317-C316)/(DATE(YEAR(C317)+1,1,1)-DATE(YEAR(C317),1,1))/100</f>
        <v>0</v>
      </c>
      <c r="G317" s="385" t="n">
        <f aca="false">G316-E317-L317-M317</f>
        <v>0</v>
      </c>
      <c r="H317" s="386" t="n">
        <f aca="false">IFERROR(I317+J317,0)</f>
        <v>0</v>
      </c>
      <c r="I317" s="384" t="n">
        <f aca="false">IFERROR(IF($D$3/$D$5&lt;K316,$D$3/$D$5,K316),0)</f>
        <v>0</v>
      </c>
      <c r="J317" s="384" t="n">
        <f aca="false">K316*$D$4/12/100</f>
        <v>0</v>
      </c>
      <c r="K317" s="387" t="n">
        <f aca="false">K316-I317-L317-M317</f>
        <v>0</v>
      </c>
      <c r="L317" s="388"/>
      <c r="M317" s="389"/>
      <c r="N317" s="409"/>
      <c r="O317" s="409"/>
      <c r="P317" s="391" t="n">
        <f aca="false">IF(ISBLANK(L316),VALUE(P316),ROW(L316))</f>
        <v>10</v>
      </c>
      <c r="Q317" s="314" t="n">
        <f aca="false">Q316+P316-P317</f>
        <v>12</v>
      </c>
      <c r="R317" s="314" t="n">
        <f aca="false">INDEX(G:G,P317,1)</f>
        <v>69000</v>
      </c>
      <c r="S317" s="312"/>
    </row>
    <row r="318" s="379" customFormat="true" ht="14.9" hidden="false" customHeight="false" outlineLevel="0" collapsed="false">
      <c r="A318" s="403" t="n">
        <v>308</v>
      </c>
      <c r="B318" s="381" t="str">
        <f aca="false">CONCATENATE(INT((A318-1)/12)+1,"-й год ",A318-1-INT((A318-1)/12)*12+1,"-й мес")</f>
        <v>26-й год 8-й мес</v>
      </c>
      <c r="C318" s="382" t="n">
        <f aca="false">DATE(YEAR(C317),MONTH(C317)+1,DAY(C317))</f>
        <v>53236</v>
      </c>
      <c r="D318" s="383" t="n">
        <f aca="false">IFERROR(IF(R318*$D$4/100/12/(1-(1+$D$4/100/12)^(-Q318))&lt;G317,ROUNDUP(R318*$D$4/100/12/(1-(1+$D$4/100/12)^(-Q318)),0),G317+F318),0)</f>
        <v>0</v>
      </c>
      <c r="E318" s="384" t="n">
        <f aca="false">D318-F318</f>
        <v>0</v>
      </c>
      <c r="F318" s="384" t="n">
        <f aca="false">G317*$D$4*(C318-C317)/(DATE(YEAR(C318)+1,1,1)-DATE(YEAR(C318),1,1))/100</f>
        <v>0</v>
      </c>
      <c r="G318" s="385" t="n">
        <f aca="false">G317-E318-L318-M318</f>
        <v>0</v>
      </c>
      <c r="H318" s="386" t="n">
        <f aca="false">IFERROR(I318+J318,0)</f>
        <v>0</v>
      </c>
      <c r="I318" s="384" t="n">
        <f aca="false">IFERROR(IF($D$3/$D$5&lt;K317,$D$3/$D$5,K317),0)</f>
        <v>0</v>
      </c>
      <c r="J318" s="384" t="n">
        <f aca="false">K317*$D$4/12/100</f>
        <v>0</v>
      </c>
      <c r="K318" s="387" t="n">
        <f aca="false">K317-I318-L318-M318</f>
        <v>0</v>
      </c>
      <c r="L318" s="388"/>
      <c r="M318" s="389"/>
      <c r="N318" s="409"/>
      <c r="O318" s="409"/>
      <c r="P318" s="391" t="n">
        <f aca="false">IF(ISBLANK(L317),VALUE(P317),ROW(L317))</f>
        <v>10</v>
      </c>
      <c r="Q318" s="314" t="n">
        <f aca="false">Q317+P317-P318</f>
        <v>12</v>
      </c>
      <c r="R318" s="314" t="n">
        <f aca="false">INDEX(G:G,P318,1)</f>
        <v>69000</v>
      </c>
      <c r="S318" s="312"/>
    </row>
    <row r="319" s="379" customFormat="true" ht="14.9" hidden="false" customHeight="false" outlineLevel="0" collapsed="false">
      <c r="A319" s="403" t="n">
        <v>309</v>
      </c>
      <c r="B319" s="381" t="str">
        <f aca="false">CONCATENATE(INT((A319-1)/12)+1,"-й год ",A319-1-INT((A319-1)/12)*12+1,"-й мес")</f>
        <v>26-й год 9-й мес</v>
      </c>
      <c r="C319" s="382" t="n">
        <f aca="false">DATE(YEAR(C318),MONTH(C318)+1,DAY(C318))</f>
        <v>53267</v>
      </c>
      <c r="D319" s="383" t="n">
        <f aca="false">IFERROR(IF(R319*$D$4/100/12/(1-(1+$D$4/100/12)^(-Q319))&lt;G318,ROUNDUP(R319*$D$4/100/12/(1-(1+$D$4/100/12)^(-Q319)),0),G318+F319),0)</f>
        <v>0</v>
      </c>
      <c r="E319" s="384" t="n">
        <f aca="false">D319-F319</f>
        <v>0</v>
      </c>
      <c r="F319" s="384" t="n">
        <f aca="false">G318*$D$4*(C319-C318)/(DATE(YEAR(C319)+1,1,1)-DATE(YEAR(C319),1,1))/100</f>
        <v>0</v>
      </c>
      <c r="G319" s="385" t="n">
        <f aca="false">G318-E319-L319-M319</f>
        <v>0</v>
      </c>
      <c r="H319" s="386" t="n">
        <f aca="false">IFERROR(I319+J319,0)</f>
        <v>0</v>
      </c>
      <c r="I319" s="384" t="n">
        <f aca="false">IFERROR(IF($D$3/$D$5&lt;K318,$D$3/$D$5,K318),0)</f>
        <v>0</v>
      </c>
      <c r="J319" s="384" t="n">
        <f aca="false">K318*$D$4/12/100</f>
        <v>0</v>
      </c>
      <c r="K319" s="387" t="n">
        <f aca="false">K318-I319-L319-M319</f>
        <v>0</v>
      </c>
      <c r="L319" s="388"/>
      <c r="M319" s="389"/>
      <c r="N319" s="409"/>
      <c r="O319" s="409"/>
      <c r="P319" s="391" t="n">
        <f aca="false">IF(ISBLANK(L318),VALUE(P318),ROW(L318))</f>
        <v>10</v>
      </c>
      <c r="Q319" s="314" t="n">
        <f aca="false">Q318+P318-P319</f>
        <v>12</v>
      </c>
      <c r="R319" s="314" t="n">
        <f aca="false">INDEX(G:G,P319,1)</f>
        <v>69000</v>
      </c>
      <c r="S319" s="312"/>
    </row>
    <row r="320" s="379" customFormat="true" ht="14.9" hidden="false" customHeight="false" outlineLevel="0" collapsed="false">
      <c r="A320" s="403" t="n">
        <v>310</v>
      </c>
      <c r="B320" s="381" t="str">
        <f aca="false">CONCATENATE(INT((A320-1)/12)+1,"-й год ",A320-1-INT((A320-1)/12)*12+1,"-й мес")</f>
        <v>26-й год 10-й мес</v>
      </c>
      <c r="C320" s="382" t="n">
        <f aca="false">DATE(YEAR(C319),MONTH(C319)+1,DAY(C319))</f>
        <v>53297</v>
      </c>
      <c r="D320" s="383" t="n">
        <f aca="false">IFERROR(IF(R320*$D$4/100/12/(1-(1+$D$4/100/12)^(-Q320))&lt;G319,ROUNDUP(R320*$D$4/100/12/(1-(1+$D$4/100/12)^(-Q320)),0),G319+F320),0)</f>
        <v>0</v>
      </c>
      <c r="E320" s="384" t="n">
        <f aca="false">D320-F320</f>
        <v>0</v>
      </c>
      <c r="F320" s="384" t="n">
        <f aca="false">G319*$D$4*(C320-C319)/(DATE(YEAR(C320)+1,1,1)-DATE(YEAR(C320),1,1))/100</f>
        <v>0</v>
      </c>
      <c r="G320" s="385" t="n">
        <f aca="false">G319-E320-L320-M320</f>
        <v>0</v>
      </c>
      <c r="H320" s="386" t="n">
        <f aca="false">IFERROR(I320+J320,0)</f>
        <v>0</v>
      </c>
      <c r="I320" s="384" t="n">
        <f aca="false">IFERROR(IF($D$3/$D$5&lt;K319,$D$3/$D$5,K319),0)</f>
        <v>0</v>
      </c>
      <c r="J320" s="384" t="n">
        <f aca="false">K319*$D$4/12/100</f>
        <v>0</v>
      </c>
      <c r="K320" s="387" t="n">
        <f aca="false">K319-I320-L320-M320</f>
        <v>0</v>
      </c>
      <c r="L320" s="388"/>
      <c r="M320" s="389"/>
      <c r="N320" s="409"/>
      <c r="O320" s="409"/>
      <c r="P320" s="391" t="n">
        <f aca="false">IF(ISBLANK(L319),VALUE(P319),ROW(L319))</f>
        <v>10</v>
      </c>
      <c r="Q320" s="314" t="n">
        <f aca="false">Q319+P319-P320</f>
        <v>12</v>
      </c>
      <c r="R320" s="314" t="n">
        <f aca="false">INDEX(G:G,P320,1)</f>
        <v>69000</v>
      </c>
      <c r="S320" s="312"/>
    </row>
    <row r="321" s="379" customFormat="true" ht="14.9" hidden="false" customHeight="false" outlineLevel="0" collapsed="false">
      <c r="A321" s="403" t="n">
        <v>311</v>
      </c>
      <c r="B321" s="381" t="str">
        <f aca="false">CONCATENATE(INT((A321-1)/12)+1,"-й год ",A321-1-INT((A321-1)/12)*12+1,"-й мес")</f>
        <v>26-й год 11-й мес</v>
      </c>
      <c r="C321" s="382" t="n">
        <f aca="false">DATE(YEAR(C320),MONTH(C320)+1,DAY(C320))</f>
        <v>53328</v>
      </c>
      <c r="D321" s="383" t="n">
        <f aca="false">IFERROR(IF(R321*$D$4/100/12/(1-(1+$D$4/100/12)^(-Q321))&lt;G320,ROUNDUP(R321*$D$4/100/12/(1-(1+$D$4/100/12)^(-Q321)),0),G320+F321),0)</f>
        <v>0</v>
      </c>
      <c r="E321" s="384" t="n">
        <f aca="false">D321-F321</f>
        <v>0</v>
      </c>
      <c r="F321" s="384" t="n">
        <f aca="false">G320*$D$4*(C321-C320)/(DATE(YEAR(C321)+1,1,1)-DATE(YEAR(C321),1,1))/100</f>
        <v>0</v>
      </c>
      <c r="G321" s="385" t="n">
        <f aca="false">G320-E321-L321-M321</f>
        <v>0</v>
      </c>
      <c r="H321" s="386" t="n">
        <f aca="false">IFERROR(I321+J321,0)</f>
        <v>0</v>
      </c>
      <c r="I321" s="384" t="n">
        <f aca="false">IFERROR(IF($D$3/$D$5&lt;K320,$D$3/$D$5,K320),0)</f>
        <v>0</v>
      </c>
      <c r="J321" s="384" t="n">
        <f aca="false">K320*$D$4/12/100</f>
        <v>0</v>
      </c>
      <c r="K321" s="387" t="n">
        <f aca="false">K320-I321-L321-M321</f>
        <v>0</v>
      </c>
      <c r="L321" s="388"/>
      <c r="M321" s="389"/>
      <c r="N321" s="409"/>
      <c r="O321" s="409"/>
      <c r="P321" s="391" t="n">
        <f aca="false">IF(ISBLANK(L320),VALUE(P320),ROW(L320))</f>
        <v>10</v>
      </c>
      <c r="Q321" s="314" t="n">
        <f aca="false">Q320+P320-P321</f>
        <v>12</v>
      </c>
      <c r="R321" s="314" t="n">
        <f aca="false">INDEX(G:G,P321,1)</f>
        <v>69000</v>
      </c>
      <c r="S321" s="312"/>
    </row>
    <row r="322" s="379" customFormat="true" ht="14.9" hidden="false" customHeight="false" outlineLevel="0" collapsed="false">
      <c r="A322" s="404" t="n">
        <v>312</v>
      </c>
      <c r="B322" s="392" t="str">
        <f aca="false">CONCATENATE(INT((A322-1)/12)+1,"-й год ",A322-1-INT((A322-1)/12)*12+1,"-й мес")</f>
        <v>26-й год 12-й мес</v>
      </c>
      <c r="C322" s="393" t="n">
        <f aca="false">DATE(YEAR(C321),MONTH(C321)+1,DAY(C321))</f>
        <v>53359</v>
      </c>
      <c r="D322" s="394" t="n">
        <f aca="false">IFERROR(IF(R322*$D$4/100/12/(1-(1+$D$4/100/12)^(-Q322))&lt;G321,ROUNDUP(R322*$D$4/100/12/(1-(1+$D$4/100/12)^(-Q322)),0),G321+F322),0)</f>
        <v>0</v>
      </c>
      <c r="E322" s="395" t="n">
        <f aca="false">D322-F322</f>
        <v>0</v>
      </c>
      <c r="F322" s="395" t="n">
        <f aca="false">G321*$D$4*(C322-C321)/(DATE(YEAR(C322)+1,1,1)-DATE(YEAR(C322),1,1))/100</f>
        <v>0</v>
      </c>
      <c r="G322" s="405" t="n">
        <f aca="false">G321-E322-L322-M322</f>
        <v>0</v>
      </c>
      <c r="H322" s="406" t="n">
        <f aca="false">IFERROR(I322+J322,0)</f>
        <v>0</v>
      </c>
      <c r="I322" s="395" t="n">
        <f aca="false">IFERROR(IF($D$3/$D$5&lt;K321,$D$3/$D$5,K321),0)</f>
        <v>0</v>
      </c>
      <c r="J322" s="395" t="n">
        <f aca="false">K321*$D$4/12/100</f>
        <v>0</v>
      </c>
      <c r="K322" s="407" t="n">
        <f aca="false">K321-I322-L322-M322</f>
        <v>0</v>
      </c>
      <c r="L322" s="408"/>
      <c r="M322" s="410"/>
      <c r="N322" s="409"/>
      <c r="O322" s="409"/>
      <c r="P322" s="391" t="n">
        <f aca="false">IF(ISBLANK(L321),VALUE(P321),ROW(L321))</f>
        <v>10</v>
      </c>
      <c r="Q322" s="314" t="n">
        <f aca="false">Q321+P321-P322</f>
        <v>12</v>
      </c>
      <c r="R322" s="314" t="n">
        <f aca="false">INDEX(G:G,P322,1)</f>
        <v>69000</v>
      </c>
      <c r="S322" s="312"/>
    </row>
    <row r="323" s="379" customFormat="true" ht="14.9" hidden="false" customHeight="false" outlineLevel="0" collapsed="false">
      <c r="A323" s="380" t="n">
        <v>313</v>
      </c>
      <c r="B323" s="381" t="str">
        <f aca="false">CONCATENATE(INT((A323-1)/12)+1,"-й год ",A323-1-INT((A323-1)/12)*12+1,"-й мес")</f>
        <v>27-й год 1-й мес</v>
      </c>
      <c r="C323" s="382" t="n">
        <f aca="false">DATE(YEAR(C322),MONTH(C322)+1,DAY(C322))</f>
        <v>53387</v>
      </c>
      <c r="D323" s="383" t="n">
        <f aca="false">IFERROR(IF(R323*$D$4/100/12/(1-(1+$D$4/100/12)^(-Q323))&lt;G322,ROUNDUP(R323*$D$4/100/12/(1-(1+$D$4/100/12)^(-Q323)),0),G322+F323),0)</f>
        <v>0</v>
      </c>
      <c r="E323" s="384" t="n">
        <f aca="false">D323-F323</f>
        <v>0</v>
      </c>
      <c r="F323" s="384" t="n">
        <f aca="false">G322*$D$4*(C323-C322)/(DATE(YEAR(C323)+1,1,1)-DATE(YEAR(C323),1,1))/100</f>
        <v>0</v>
      </c>
      <c r="G323" s="385" t="n">
        <f aca="false">G322-E323-L323-M323</f>
        <v>0</v>
      </c>
      <c r="H323" s="386" t="n">
        <f aca="false">IFERROR(I323+J323,0)</f>
        <v>0</v>
      </c>
      <c r="I323" s="384" t="n">
        <f aca="false">IFERROR(IF($D$3/$D$5&lt;K322,$D$3/$D$5,K322),0)</f>
        <v>0</v>
      </c>
      <c r="J323" s="384" t="n">
        <f aca="false">K322*$D$4/12/100</f>
        <v>0</v>
      </c>
      <c r="K323" s="387" t="n">
        <f aca="false">K322-I323-L323-M323</f>
        <v>0</v>
      </c>
      <c r="L323" s="388"/>
      <c r="M323" s="389"/>
      <c r="N323" s="409"/>
      <c r="O323" s="409"/>
      <c r="P323" s="391" t="n">
        <f aca="false">IF(ISBLANK(L322),VALUE(P322),ROW(L322))</f>
        <v>10</v>
      </c>
      <c r="Q323" s="314" t="n">
        <f aca="false">Q322+P322-P323</f>
        <v>12</v>
      </c>
      <c r="R323" s="314" t="n">
        <f aca="false">INDEX(G:G,P323,1)</f>
        <v>69000</v>
      </c>
      <c r="S323" s="312"/>
    </row>
    <row r="324" s="379" customFormat="true" ht="14.9" hidden="false" customHeight="false" outlineLevel="0" collapsed="false">
      <c r="A324" s="380" t="n">
        <v>314</v>
      </c>
      <c r="B324" s="381" t="str">
        <f aca="false">CONCATENATE(INT((A324-1)/12)+1,"-й год ",A324-1-INT((A324-1)/12)*12+1,"-й мес")</f>
        <v>27-й год 2-й мес</v>
      </c>
      <c r="C324" s="382" t="n">
        <f aca="false">DATE(YEAR(C323),MONTH(C323)+1,DAY(C323))</f>
        <v>53418</v>
      </c>
      <c r="D324" s="383" t="n">
        <f aca="false">IFERROR(IF(R324*$D$4/100/12/(1-(1+$D$4/100/12)^(-Q324))&lt;G323,ROUNDUP(R324*$D$4/100/12/(1-(1+$D$4/100/12)^(-Q324)),0),G323+F324),0)</f>
        <v>0</v>
      </c>
      <c r="E324" s="384" t="n">
        <f aca="false">D324-F324</f>
        <v>0</v>
      </c>
      <c r="F324" s="384" t="n">
        <f aca="false">G323*$D$4*(C324-C323)/(DATE(YEAR(C324)+1,1,1)-DATE(YEAR(C324),1,1))/100</f>
        <v>0</v>
      </c>
      <c r="G324" s="385" t="n">
        <f aca="false">G323-E324-L324-M324</f>
        <v>0</v>
      </c>
      <c r="H324" s="386" t="n">
        <f aca="false">IFERROR(I324+J324,0)</f>
        <v>0</v>
      </c>
      <c r="I324" s="384" t="n">
        <f aca="false">IFERROR(IF($D$3/$D$5&lt;K323,$D$3/$D$5,K323),0)</f>
        <v>0</v>
      </c>
      <c r="J324" s="384" t="n">
        <f aca="false">K323*$D$4/12/100</f>
        <v>0</v>
      </c>
      <c r="K324" s="387" t="n">
        <f aca="false">K323-I324-L324-M324</f>
        <v>0</v>
      </c>
      <c r="L324" s="388"/>
      <c r="M324" s="389"/>
      <c r="N324" s="409"/>
      <c r="O324" s="409"/>
      <c r="P324" s="391" t="n">
        <f aca="false">IF(ISBLANK(L323),VALUE(P323),ROW(L323))</f>
        <v>10</v>
      </c>
      <c r="Q324" s="314" t="n">
        <f aca="false">Q323+P323-P324</f>
        <v>12</v>
      </c>
      <c r="R324" s="314" t="n">
        <f aca="false">INDEX(G:G,P324,1)</f>
        <v>69000</v>
      </c>
      <c r="S324" s="312"/>
    </row>
    <row r="325" s="379" customFormat="true" ht="14.9" hidden="false" customHeight="false" outlineLevel="0" collapsed="false">
      <c r="A325" s="380" t="n">
        <v>315</v>
      </c>
      <c r="B325" s="381" t="str">
        <f aca="false">CONCATENATE(INT((A325-1)/12)+1,"-й год ",A325-1-INT((A325-1)/12)*12+1,"-й мес")</f>
        <v>27-й год 3-й мес</v>
      </c>
      <c r="C325" s="382" t="n">
        <f aca="false">DATE(YEAR(C324),MONTH(C324)+1,DAY(C324))</f>
        <v>53448</v>
      </c>
      <c r="D325" s="383" t="n">
        <f aca="false">IFERROR(IF(R325*$D$4/100/12/(1-(1+$D$4/100/12)^(-Q325))&lt;G324,ROUNDUP(R325*$D$4/100/12/(1-(1+$D$4/100/12)^(-Q325)),0),G324+F325),0)</f>
        <v>0</v>
      </c>
      <c r="E325" s="384" t="n">
        <f aca="false">D325-F325</f>
        <v>0</v>
      </c>
      <c r="F325" s="384" t="n">
        <f aca="false">G324*$D$4*(C325-C324)/(DATE(YEAR(C325)+1,1,1)-DATE(YEAR(C325),1,1))/100</f>
        <v>0</v>
      </c>
      <c r="G325" s="385" t="n">
        <f aca="false">G324-E325-L325-M325</f>
        <v>0</v>
      </c>
      <c r="H325" s="386" t="n">
        <f aca="false">IFERROR(I325+J325,0)</f>
        <v>0</v>
      </c>
      <c r="I325" s="384" t="n">
        <f aca="false">IFERROR(IF($D$3/$D$5&lt;K324,$D$3/$D$5,K324),0)</f>
        <v>0</v>
      </c>
      <c r="J325" s="384" t="n">
        <f aca="false">K324*$D$4/12/100</f>
        <v>0</v>
      </c>
      <c r="K325" s="387" t="n">
        <f aca="false">K324-I325-L325-M325</f>
        <v>0</v>
      </c>
      <c r="L325" s="388"/>
      <c r="M325" s="389"/>
      <c r="N325" s="409"/>
      <c r="O325" s="409"/>
      <c r="P325" s="391" t="n">
        <f aca="false">IF(ISBLANK(L324),VALUE(P324),ROW(L324))</f>
        <v>10</v>
      </c>
      <c r="Q325" s="314" t="n">
        <f aca="false">Q324+P324-P325</f>
        <v>12</v>
      </c>
      <c r="R325" s="314" t="n">
        <f aca="false">INDEX(G:G,P325,1)</f>
        <v>69000</v>
      </c>
      <c r="S325" s="312"/>
    </row>
    <row r="326" s="379" customFormat="true" ht="14.9" hidden="false" customHeight="false" outlineLevel="0" collapsed="false">
      <c r="A326" s="380" t="n">
        <v>316</v>
      </c>
      <c r="B326" s="381" t="str">
        <f aca="false">CONCATENATE(INT((A326-1)/12)+1,"-й год ",A326-1-INT((A326-1)/12)*12+1,"-й мес")</f>
        <v>27-й год 4-й мес</v>
      </c>
      <c r="C326" s="382" t="n">
        <f aca="false">DATE(YEAR(C325),MONTH(C325)+1,DAY(C325))</f>
        <v>53479</v>
      </c>
      <c r="D326" s="383" t="n">
        <f aca="false">IFERROR(IF(R326*$D$4/100/12/(1-(1+$D$4/100/12)^(-Q326))&lt;G325,ROUNDUP(R326*$D$4/100/12/(1-(1+$D$4/100/12)^(-Q326)),0),G325+F326),0)</f>
        <v>0</v>
      </c>
      <c r="E326" s="384" t="n">
        <f aca="false">D326-F326</f>
        <v>0</v>
      </c>
      <c r="F326" s="384" t="n">
        <f aca="false">G325*$D$4*(C326-C325)/(DATE(YEAR(C326)+1,1,1)-DATE(YEAR(C326),1,1))/100</f>
        <v>0</v>
      </c>
      <c r="G326" s="385" t="n">
        <f aca="false">G325-E326-L326-M326</f>
        <v>0</v>
      </c>
      <c r="H326" s="386" t="n">
        <f aca="false">IFERROR(I326+J326,0)</f>
        <v>0</v>
      </c>
      <c r="I326" s="384" t="n">
        <f aca="false">IFERROR(IF($D$3/$D$5&lt;K325,$D$3/$D$5,K325),0)</f>
        <v>0</v>
      </c>
      <c r="J326" s="384" t="n">
        <f aca="false">K325*$D$4/12/100</f>
        <v>0</v>
      </c>
      <c r="K326" s="387" t="n">
        <f aca="false">K325-I326-L326-M326</f>
        <v>0</v>
      </c>
      <c r="L326" s="388"/>
      <c r="M326" s="389"/>
      <c r="N326" s="409"/>
      <c r="O326" s="409"/>
      <c r="P326" s="391" t="n">
        <f aca="false">IF(ISBLANK(L325),VALUE(P325),ROW(L325))</f>
        <v>10</v>
      </c>
      <c r="Q326" s="314" t="n">
        <f aca="false">Q325+P325-P326</f>
        <v>12</v>
      </c>
      <c r="R326" s="314" t="n">
        <f aca="false">INDEX(G:G,P326,1)</f>
        <v>69000</v>
      </c>
      <c r="S326" s="312"/>
    </row>
    <row r="327" s="379" customFormat="true" ht="14.9" hidden="false" customHeight="false" outlineLevel="0" collapsed="false">
      <c r="A327" s="380" t="n">
        <v>317</v>
      </c>
      <c r="B327" s="381" t="str">
        <f aca="false">CONCATENATE(INT((A327-1)/12)+1,"-й год ",A327-1-INT((A327-1)/12)*12+1,"-й мес")</f>
        <v>27-й год 5-й мес</v>
      </c>
      <c r="C327" s="382" t="n">
        <f aca="false">DATE(YEAR(C326),MONTH(C326)+1,DAY(C326))</f>
        <v>53509</v>
      </c>
      <c r="D327" s="383" t="n">
        <f aca="false">IFERROR(IF(R327*$D$4/100/12/(1-(1+$D$4/100/12)^(-Q327))&lt;G326,ROUNDUP(R327*$D$4/100/12/(1-(1+$D$4/100/12)^(-Q327)),0),G326+F327),0)</f>
        <v>0</v>
      </c>
      <c r="E327" s="384" t="n">
        <f aca="false">D327-F327</f>
        <v>0</v>
      </c>
      <c r="F327" s="384" t="n">
        <f aca="false">G326*$D$4*(C327-C326)/(DATE(YEAR(C327)+1,1,1)-DATE(YEAR(C327),1,1))/100</f>
        <v>0</v>
      </c>
      <c r="G327" s="385" t="n">
        <f aca="false">G326-E327-L327-M327</f>
        <v>0</v>
      </c>
      <c r="H327" s="386" t="n">
        <f aca="false">IFERROR(I327+J327,0)</f>
        <v>0</v>
      </c>
      <c r="I327" s="384" t="n">
        <f aca="false">IFERROR(IF($D$3/$D$5&lt;K326,$D$3/$D$5,K326),0)</f>
        <v>0</v>
      </c>
      <c r="J327" s="384" t="n">
        <f aca="false">K326*$D$4/12/100</f>
        <v>0</v>
      </c>
      <c r="K327" s="387" t="n">
        <f aca="false">K326-I327-L327-M327</f>
        <v>0</v>
      </c>
      <c r="L327" s="388"/>
      <c r="M327" s="389"/>
      <c r="N327" s="409"/>
      <c r="O327" s="409"/>
      <c r="P327" s="391" t="n">
        <f aca="false">IF(ISBLANK(L326),VALUE(P326),ROW(L326))</f>
        <v>10</v>
      </c>
      <c r="Q327" s="314" t="n">
        <f aca="false">Q326+P326-P327</f>
        <v>12</v>
      </c>
      <c r="R327" s="314" t="n">
        <f aca="false">INDEX(G:G,P327,1)</f>
        <v>69000</v>
      </c>
      <c r="S327" s="312"/>
    </row>
    <row r="328" s="379" customFormat="true" ht="14.9" hidden="false" customHeight="false" outlineLevel="0" collapsed="false">
      <c r="A328" s="380" t="n">
        <v>318</v>
      </c>
      <c r="B328" s="381" t="str">
        <f aca="false">CONCATENATE(INT((A328-1)/12)+1,"-й год ",A328-1-INT((A328-1)/12)*12+1,"-й мес")</f>
        <v>27-й год 6-й мес</v>
      </c>
      <c r="C328" s="382" t="n">
        <f aca="false">DATE(YEAR(C327),MONTH(C327)+1,DAY(C327))</f>
        <v>53540</v>
      </c>
      <c r="D328" s="383" t="n">
        <f aca="false">IFERROR(IF(R328*$D$4/100/12/(1-(1+$D$4/100/12)^(-Q328))&lt;G327,ROUNDUP(R328*$D$4/100/12/(1-(1+$D$4/100/12)^(-Q328)),0),G327+F328),0)</f>
        <v>0</v>
      </c>
      <c r="E328" s="384" t="n">
        <f aca="false">D328-F328</f>
        <v>0</v>
      </c>
      <c r="F328" s="384" t="n">
        <f aca="false">G327*$D$4*(C328-C327)/(DATE(YEAR(C328)+1,1,1)-DATE(YEAR(C328),1,1))/100</f>
        <v>0</v>
      </c>
      <c r="G328" s="385" t="n">
        <f aca="false">G327-E328-L328-M328</f>
        <v>0</v>
      </c>
      <c r="H328" s="386" t="n">
        <f aca="false">IFERROR(I328+J328,0)</f>
        <v>0</v>
      </c>
      <c r="I328" s="384" t="n">
        <f aca="false">IFERROR(IF($D$3/$D$5&lt;K327,$D$3/$D$5,K327),0)</f>
        <v>0</v>
      </c>
      <c r="J328" s="384" t="n">
        <f aca="false">K327*$D$4/12/100</f>
        <v>0</v>
      </c>
      <c r="K328" s="387" t="n">
        <f aca="false">K327-I328-L328-M328</f>
        <v>0</v>
      </c>
      <c r="L328" s="388"/>
      <c r="M328" s="389"/>
      <c r="N328" s="409"/>
      <c r="O328" s="409"/>
      <c r="P328" s="391" t="n">
        <f aca="false">IF(ISBLANK(L327),VALUE(P327),ROW(L327))</f>
        <v>10</v>
      </c>
      <c r="Q328" s="314" t="n">
        <f aca="false">Q327+P327-P328</f>
        <v>12</v>
      </c>
      <c r="R328" s="314" t="n">
        <f aca="false">INDEX(G:G,P328,1)</f>
        <v>69000</v>
      </c>
      <c r="S328" s="312"/>
    </row>
    <row r="329" s="379" customFormat="true" ht="14.9" hidden="false" customHeight="false" outlineLevel="0" collapsed="false">
      <c r="A329" s="380" t="n">
        <v>319</v>
      </c>
      <c r="B329" s="381" t="str">
        <f aca="false">CONCATENATE(INT((A329-1)/12)+1,"-й год ",A329-1-INT((A329-1)/12)*12+1,"-й мес")</f>
        <v>27-й год 7-й мес</v>
      </c>
      <c r="C329" s="382" t="n">
        <f aca="false">DATE(YEAR(C328),MONTH(C328)+1,DAY(C328))</f>
        <v>53571</v>
      </c>
      <c r="D329" s="383" t="n">
        <f aca="false">IFERROR(IF(R329*$D$4/100/12/(1-(1+$D$4/100/12)^(-Q329))&lt;G328,ROUNDUP(R329*$D$4/100/12/(1-(1+$D$4/100/12)^(-Q329)),0),G328+F329),0)</f>
        <v>0</v>
      </c>
      <c r="E329" s="384" t="n">
        <f aca="false">D329-F329</f>
        <v>0</v>
      </c>
      <c r="F329" s="384" t="n">
        <f aca="false">G328*$D$4*(C329-C328)/(DATE(YEAR(C329)+1,1,1)-DATE(YEAR(C329),1,1))/100</f>
        <v>0</v>
      </c>
      <c r="G329" s="385" t="n">
        <f aca="false">G328-E329-L329-M329</f>
        <v>0</v>
      </c>
      <c r="H329" s="386" t="n">
        <f aca="false">IFERROR(I329+J329,0)</f>
        <v>0</v>
      </c>
      <c r="I329" s="384" t="n">
        <f aca="false">IFERROR(IF($D$3/$D$5&lt;K328,$D$3/$D$5,K328),0)</f>
        <v>0</v>
      </c>
      <c r="J329" s="384" t="n">
        <f aca="false">K328*$D$4/12/100</f>
        <v>0</v>
      </c>
      <c r="K329" s="387" t="n">
        <f aca="false">K328-I329-L329-M329</f>
        <v>0</v>
      </c>
      <c r="L329" s="388"/>
      <c r="M329" s="389"/>
      <c r="N329" s="409"/>
      <c r="O329" s="409"/>
      <c r="P329" s="391" t="n">
        <f aca="false">IF(ISBLANK(L328),VALUE(P328),ROW(L328))</f>
        <v>10</v>
      </c>
      <c r="Q329" s="314" t="n">
        <f aca="false">Q328+P328-P329</f>
        <v>12</v>
      </c>
      <c r="R329" s="314" t="n">
        <f aca="false">INDEX(G:G,P329,1)</f>
        <v>69000</v>
      </c>
      <c r="S329" s="312"/>
    </row>
    <row r="330" s="379" customFormat="true" ht="14.9" hidden="false" customHeight="false" outlineLevel="0" collapsed="false">
      <c r="A330" s="380" t="n">
        <v>320</v>
      </c>
      <c r="B330" s="381" t="str">
        <f aca="false">CONCATENATE(INT((A330-1)/12)+1,"-й год ",A330-1-INT((A330-1)/12)*12+1,"-й мес")</f>
        <v>27-й год 8-й мес</v>
      </c>
      <c r="C330" s="382" t="n">
        <f aca="false">DATE(YEAR(C329),MONTH(C329)+1,DAY(C329))</f>
        <v>53601</v>
      </c>
      <c r="D330" s="383" t="n">
        <f aca="false">IFERROR(IF(R330*$D$4/100/12/(1-(1+$D$4/100/12)^(-Q330))&lt;G329,ROUNDUP(R330*$D$4/100/12/(1-(1+$D$4/100/12)^(-Q330)),0),G329+F330),0)</f>
        <v>0</v>
      </c>
      <c r="E330" s="384" t="n">
        <f aca="false">D330-F330</f>
        <v>0</v>
      </c>
      <c r="F330" s="384" t="n">
        <f aca="false">G329*$D$4*(C330-C329)/(DATE(YEAR(C330)+1,1,1)-DATE(YEAR(C330),1,1))/100</f>
        <v>0</v>
      </c>
      <c r="G330" s="385" t="n">
        <f aca="false">G329-E330-L330-M330</f>
        <v>0</v>
      </c>
      <c r="H330" s="386" t="n">
        <f aca="false">IFERROR(I330+J330,0)</f>
        <v>0</v>
      </c>
      <c r="I330" s="384" t="n">
        <f aca="false">IFERROR(IF($D$3/$D$5&lt;K329,$D$3/$D$5,K329),0)</f>
        <v>0</v>
      </c>
      <c r="J330" s="384" t="n">
        <f aca="false">K329*$D$4/12/100</f>
        <v>0</v>
      </c>
      <c r="K330" s="387" t="n">
        <f aca="false">K329-I330-L330-M330</f>
        <v>0</v>
      </c>
      <c r="L330" s="388"/>
      <c r="M330" s="389"/>
      <c r="N330" s="409"/>
      <c r="O330" s="409"/>
      <c r="P330" s="391" t="n">
        <f aca="false">IF(ISBLANK(L329),VALUE(P329),ROW(L329))</f>
        <v>10</v>
      </c>
      <c r="Q330" s="314" t="n">
        <f aca="false">Q329+P329-P330</f>
        <v>12</v>
      </c>
      <c r="R330" s="314" t="n">
        <f aca="false">INDEX(G:G,P330,1)</f>
        <v>69000</v>
      </c>
      <c r="S330" s="312"/>
    </row>
    <row r="331" s="379" customFormat="true" ht="14.9" hidden="false" customHeight="false" outlineLevel="0" collapsed="false">
      <c r="A331" s="380" t="n">
        <v>321</v>
      </c>
      <c r="B331" s="381" t="str">
        <f aca="false">CONCATENATE(INT((A331-1)/12)+1,"-й год ",A331-1-INT((A331-1)/12)*12+1,"-й мес")</f>
        <v>27-й год 9-й мес</v>
      </c>
      <c r="C331" s="382" t="n">
        <f aca="false">DATE(YEAR(C330),MONTH(C330)+1,DAY(C330))</f>
        <v>53632</v>
      </c>
      <c r="D331" s="383" t="n">
        <f aca="false">IFERROR(IF(R331*$D$4/100/12/(1-(1+$D$4/100/12)^(-Q331))&lt;G330,ROUNDUP(R331*$D$4/100/12/(1-(1+$D$4/100/12)^(-Q331)),0),G330+F331),0)</f>
        <v>0</v>
      </c>
      <c r="E331" s="384" t="n">
        <f aca="false">D331-F331</f>
        <v>0</v>
      </c>
      <c r="F331" s="384" t="n">
        <f aca="false">G330*$D$4*(C331-C330)/(DATE(YEAR(C331)+1,1,1)-DATE(YEAR(C331),1,1))/100</f>
        <v>0</v>
      </c>
      <c r="G331" s="385" t="n">
        <f aca="false">G330-E331-L331-M331</f>
        <v>0</v>
      </c>
      <c r="H331" s="386" t="n">
        <f aca="false">IFERROR(I331+J331,0)</f>
        <v>0</v>
      </c>
      <c r="I331" s="384" t="n">
        <f aca="false">IFERROR(IF($D$3/$D$5&lt;K330,$D$3/$D$5,K330),0)</f>
        <v>0</v>
      </c>
      <c r="J331" s="384" t="n">
        <f aca="false">K330*$D$4/12/100</f>
        <v>0</v>
      </c>
      <c r="K331" s="387" t="n">
        <f aca="false">K330-I331-L331-M331</f>
        <v>0</v>
      </c>
      <c r="L331" s="388"/>
      <c r="M331" s="389"/>
      <c r="N331" s="409"/>
      <c r="O331" s="409"/>
      <c r="P331" s="391" t="n">
        <f aca="false">IF(ISBLANK(L330),VALUE(P330),ROW(L330))</f>
        <v>10</v>
      </c>
      <c r="Q331" s="314" t="n">
        <f aca="false">Q330+P330-P331</f>
        <v>12</v>
      </c>
      <c r="R331" s="314" t="n">
        <f aca="false">INDEX(G:G,P331,1)</f>
        <v>69000</v>
      </c>
      <c r="S331" s="312"/>
    </row>
    <row r="332" s="379" customFormat="true" ht="14.9" hidden="false" customHeight="false" outlineLevel="0" collapsed="false">
      <c r="A332" s="380" t="n">
        <v>322</v>
      </c>
      <c r="B332" s="381" t="str">
        <f aca="false">CONCATENATE(INT((A332-1)/12)+1,"-й год ",A332-1-INT((A332-1)/12)*12+1,"-й мес")</f>
        <v>27-й год 10-й мес</v>
      </c>
      <c r="C332" s="382" t="n">
        <f aca="false">DATE(YEAR(C331),MONTH(C331)+1,DAY(C331))</f>
        <v>53662</v>
      </c>
      <c r="D332" s="383" t="n">
        <f aca="false">IFERROR(IF(R332*$D$4/100/12/(1-(1+$D$4/100/12)^(-Q332))&lt;G331,ROUNDUP(R332*$D$4/100/12/(1-(1+$D$4/100/12)^(-Q332)),0),G331+F332),0)</f>
        <v>0</v>
      </c>
      <c r="E332" s="384" t="n">
        <f aca="false">D332-F332</f>
        <v>0</v>
      </c>
      <c r="F332" s="384" t="n">
        <f aca="false">G331*$D$4*(C332-C331)/(DATE(YEAR(C332)+1,1,1)-DATE(YEAR(C332),1,1))/100</f>
        <v>0</v>
      </c>
      <c r="G332" s="385" t="n">
        <f aca="false">G331-E332-L332-M332</f>
        <v>0</v>
      </c>
      <c r="H332" s="386" t="n">
        <f aca="false">IFERROR(I332+J332,0)</f>
        <v>0</v>
      </c>
      <c r="I332" s="384" t="n">
        <f aca="false">IFERROR(IF($D$3/$D$5&lt;K331,$D$3/$D$5,K331),0)</f>
        <v>0</v>
      </c>
      <c r="J332" s="384" t="n">
        <f aca="false">K331*$D$4/12/100</f>
        <v>0</v>
      </c>
      <c r="K332" s="387" t="n">
        <f aca="false">K331-I332-L332-M332</f>
        <v>0</v>
      </c>
      <c r="L332" s="388"/>
      <c r="M332" s="389"/>
      <c r="N332" s="409"/>
      <c r="O332" s="409"/>
      <c r="P332" s="391" t="n">
        <f aca="false">IF(ISBLANK(L331),VALUE(P331),ROW(L331))</f>
        <v>10</v>
      </c>
      <c r="Q332" s="314" t="n">
        <f aca="false">Q331+P331-P332</f>
        <v>12</v>
      </c>
      <c r="R332" s="314" t="n">
        <f aca="false">INDEX(G:G,P332,1)</f>
        <v>69000</v>
      </c>
      <c r="S332" s="312"/>
    </row>
    <row r="333" s="379" customFormat="true" ht="14.9" hidden="false" customHeight="false" outlineLevel="0" collapsed="false">
      <c r="A333" s="380" t="n">
        <v>323</v>
      </c>
      <c r="B333" s="381" t="str">
        <f aca="false">CONCATENATE(INT((A333-1)/12)+1,"-й год ",A333-1-INT((A333-1)/12)*12+1,"-й мес")</f>
        <v>27-й год 11-й мес</v>
      </c>
      <c r="C333" s="382" t="n">
        <f aca="false">DATE(YEAR(C332),MONTH(C332)+1,DAY(C332))</f>
        <v>53693</v>
      </c>
      <c r="D333" s="383" t="n">
        <f aca="false">IFERROR(IF(R333*$D$4/100/12/(1-(1+$D$4/100/12)^(-Q333))&lt;G332,ROUNDUP(R333*$D$4/100/12/(1-(1+$D$4/100/12)^(-Q333)),0),G332+F333),0)</f>
        <v>0</v>
      </c>
      <c r="E333" s="384" t="n">
        <f aca="false">D333-F333</f>
        <v>0</v>
      </c>
      <c r="F333" s="384" t="n">
        <f aca="false">G332*$D$4*(C333-C332)/(DATE(YEAR(C333)+1,1,1)-DATE(YEAR(C333),1,1))/100</f>
        <v>0</v>
      </c>
      <c r="G333" s="385" t="n">
        <f aca="false">G332-E333-L333-M333</f>
        <v>0</v>
      </c>
      <c r="H333" s="386" t="n">
        <f aca="false">IFERROR(I333+J333,0)</f>
        <v>0</v>
      </c>
      <c r="I333" s="384" t="n">
        <f aca="false">IFERROR(IF($D$3/$D$5&lt;K332,$D$3/$D$5,K332),0)</f>
        <v>0</v>
      </c>
      <c r="J333" s="384" t="n">
        <f aca="false">K332*$D$4/12/100</f>
        <v>0</v>
      </c>
      <c r="K333" s="387" t="n">
        <f aca="false">K332-I333-L333-M333</f>
        <v>0</v>
      </c>
      <c r="L333" s="388"/>
      <c r="M333" s="389"/>
      <c r="N333" s="409"/>
      <c r="O333" s="409"/>
      <c r="P333" s="391" t="n">
        <f aca="false">IF(ISBLANK(L332),VALUE(P332),ROW(L332))</f>
        <v>10</v>
      </c>
      <c r="Q333" s="314" t="n">
        <f aca="false">Q332+P332-P333</f>
        <v>12</v>
      </c>
      <c r="R333" s="314" t="n">
        <f aca="false">INDEX(G:G,P333,1)</f>
        <v>69000</v>
      </c>
      <c r="S333" s="312"/>
    </row>
    <row r="334" s="379" customFormat="true" ht="14.9" hidden="false" customHeight="false" outlineLevel="0" collapsed="false">
      <c r="A334" s="380" t="n">
        <v>324</v>
      </c>
      <c r="B334" s="392" t="str">
        <f aca="false">CONCATENATE(INT((A334-1)/12)+1,"-й год ",A334-1-INT((A334-1)/12)*12+1,"-й мес")</f>
        <v>27-й год 12-й мес</v>
      </c>
      <c r="C334" s="393" t="n">
        <f aca="false">DATE(YEAR(C333),MONTH(C333)+1,DAY(C333))</f>
        <v>53724</v>
      </c>
      <c r="D334" s="394" t="n">
        <f aca="false">IFERROR(IF(R334*$D$4/100/12/(1-(1+$D$4/100/12)^(-Q334))&lt;G333,ROUNDUP(R334*$D$4/100/12/(1-(1+$D$4/100/12)^(-Q334)),0),G333+F334),0)</f>
        <v>0</v>
      </c>
      <c r="E334" s="395" t="n">
        <f aca="false">D334-F334</f>
        <v>0</v>
      </c>
      <c r="F334" s="395" t="n">
        <f aca="false">G333*$D$4*(C334-C333)/(DATE(YEAR(C334)+1,1,1)-DATE(YEAR(C334),1,1))/100</f>
        <v>0</v>
      </c>
      <c r="G334" s="385" t="n">
        <f aca="false">G333-E334-L334-M334</f>
        <v>0</v>
      </c>
      <c r="H334" s="386" t="n">
        <f aca="false">IFERROR(I334+J334,0)</f>
        <v>0</v>
      </c>
      <c r="I334" s="384" t="n">
        <f aca="false">IFERROR(IF($D$3/$D$5&lt;K333,$D$3/$D$5,K333),0)</f>
        <v>0</v>
      </c>
      <c r="J334" s="384" t="n">
        <f aca="false">K333*$D$4/12/100</f>
        <v>0</v>
      </c>
      <c r="K334" s="387" t="n">
        <f aca="false">K333-I334-L334-M334</f>
        <v>0</v>
      </c>
      <c r="L334" s="388"/>
      <c r="M334" s="389"/>
      <c r="N334" s="409"/>
      <c r="O334" s="409"/>
      <c r="P334" s="391" t="n">
        <f aca="false">IF(ISBLANK(L333),VALUE(P333),ROW(L333))</f>
        <v>10</v>
      </c>
      <c r="Q334" s="314" t="n">
        <f aca="false">Q333+P333-P334</f>
        <v>12</v>
      </c>
      <c r="R334" s="314" t="n">
        <f aca="false">INDEX(G:G,P334,1)</f>
        <v>69000</v>
      </c>
      <c r="S334" s="312"/>
    </row>
    <row r="335" s="379" customFormat="true" ht="14.9" hidden="false" customHeight="false" outlineLevel="0" collapsed="false">
      <c r="A335" s="396" t="n">
        <v>325</v>
      </c>
      <c r="B335" s="381" t="str">
        <f aca="false">CONCATENATE(INT((A335-1)/12)+1,"-й год ",A335-1-INT((A335-1)/12)*12+1,"-й мес")</f>
        <v>28-й год 1-й мес</v>
      </c>
      <c r="C335" s="382" t="n">
        <f aca="false">DATE(YEAR(C334),MONTH(C334)+1,DAY(C334))</f>
        <v>53752</v>
      </c>
      <c r="D335" s="383" t="n">
        <f aca="false">IFERROR(IF(R335*$D$4/100/12/(1-(1+$D$4/100/12)^(-Q335))&lt;G334,ROUNDUP(R335*$D$4/100/12/(1-(1+$D$4/100/12)^(-Q335)),0),G334+F335),0)</f>
        <v>0</v>
      </c>
      <c r="E335" s="384" t="n">
        <f aca="false">D335-F335</f>
        <v>0</v>
      </c>
      <c r="F335" s="384" t="n">
        <f aca="false">G334*$D$4*(C335-C334)/(DATE(YEAR(C335)+1,1,1)-DATE(YEAR(C335),1,1))/100</f>
        <v>0</v>
      </c>
      <c r="G335" s="397" t="n">
        <f aca="false">G334-E335-L335-M335</f>
        <v>0</v>
      </c>
      <c r="H335" s="398" t="n">
        <f aca="false">IFERROR(I335+J335,0)</f>
        <v>0</v>
      </c>
      <c r="I335" s="399" t="n">
        <f aca="false">IFERROR(IF($D$3/$D$5&lt;K334,$D$3/$D$5,K334),0)</f>
        <v>0</v>
      </c>
      <c r="J335" s="399" t="n">
        <f aca="false">K334*$D$4/12/100</f>
        <v>0</v>
      </c>
      <c r="K335" s="400" t="n">
        <f aca="false">K334-I335-L335-M335</f>
        <v>0</v>
      </c>
      <c r="L335" s="401"/>
      <c r="M335" s="402"/>
      <c r="N335" s="409"/>
      <c r="O335" s="409"/>
      <c r="P335" s="391" t="n">
        <f aca="false">IF(ISBLANK(L334),VALUE(P334),ROW(L334))</f>
        <v>10</v>
      </c>
      <c r="Q335" s="314" t="n">
        <f aca="false">Q334+P334-P335</f>
        <v>12</v>
      </c>
      <c r="R335" s="314" t="n">
        <f aca="false">INDEX(G:G,P335,1)</f>
        <v>69000</v>
      </c>
      <c r="S335" s="312"/>
    </row>
    <row r="336" s="379" customFormat="true" ht="14.9" hidden="false" customHeight="false" outlineLevel="0" collapsed="false">
      <c r="A336" s="403" t="n">
        <v>326</v>
      </c>
      <c r="B336" s="381" t="str">
        <f aca="false">CONCATENATE(INT((A336-1)/12)+1,"-й год ",A336-1-INT((A336-1)/12)*12+1,"-й мес")</f>
        <v>28-й год 2-й мес</v>
      </c>
      <c r="C336" s="382" t="n">
        <f aca="false">DATE(YEAR(C335),MONTH(C335)+1,DAY(C335))</f>
        <v>53783</v>
      </c>
      <c r="D336" s="383" t="n">
        <f aca="false">IFERROR(IF(R336*$D$4/100/12/(1-(1+$D$4/100/12)^(-Q336))&lt;G335,ROUNDUP(R336*$D$4/100/12/(1-(1+$D$4/100/12)^(-Q336)),0),G335+F336),0)</f>
        <v>0</v>
      </c>
      <c r="E336" s="384" t="n">
        <f aca="false">D336-F336</f>
        <v>0</v>
      </c>
      <c r="F336" s="384" t="n">
        <f aca="false">G335*$D$4*(C336-C335)/(DATE(YEAR(C336)+1,1,1)-DATE(YEAR(C336),1,1))/100</f>
        <v>0</v>
      </c>
      <c r="G336" s="385" t="n">
        <f aca="false">G335-E336-L336-M336</f>
        <v>0</v>
      </c>
      <c r="H336" s="386" t="n">
        <f aca="false">IFERROR(I336+J336,0)</f>
        <v>0</v>
      </c>
      <c r="I336" s="384" t="n">
        <f aca="false">IFERROR(IF($D$3/$D$5&lt;K335,$D$3/$D$5,K335),0)</f>
        <v>0</v>
      </c>
      <c r="J336" s="384" t="n">
        <f aca="false">K335*$D$4/12/100</f>
        <v>0</v>
      </c>
      <c r="K336" s="387" t="n">
        <f aca="false">K335-I336-L336-M336</f>
        <v>0</v>
      </c>
      <c r="L336" s="388"/>
      <c r="M336" s="389"/>
      <c r="N336" s="409"/>
      <c r="O336" s="409"/>
      <c r="P336" s="391" t="n">
        <f aca="false">IF(ISBLANK(L335),VALUE(P335),ROW(L335))</f>
        <v>10</v>
      </c>
      <c r="Q336" s="314" t="n">
        <f aca="false">Q335+P335-P336</f>
        <v>12</v>
      </c>
      <c r="R336" s="314" t="n">
        <f aca="false">INDEX(G:G,P336,1)</f>
        <v>69000</v>
      </c>
      <c r="S336" s="312"/>
    </row>
    <row r="337" s="379" customFormat="true" ht="14.9" hidden="false" customHeight="false" outlineLevel="0" collapsed="false">
      <c r="A337" s="403" t="n">
        <v>327</v>
      </c>
      <c r="B337" s="381" t="str">
        <f aca="false">CONCATENATE(INT((A337-1)/12)+1,"-й год ",A337-1-INT((A337-1)/12)*12+1,"-й мес")</f>
        <v>28-й год 3-й мес</v>
      </c>
      <c r="C337" s="382" t="n">
        <f aca="false">DATE(YEAR(C336),MONTH(C336)+1,DAY(C336))</f>
        <v>53813</v>
      </c>
      <c r="D337" s="383" t="n">
        <f aca="false">IFERROR(IF(R337*$D$4/100/12/(1-(1+$D$4/100/12)^(-Q337))&lt;G336,ROUNDUP(R337*$D$4/100/12/(1-(1+$D$4/100/12)^(-Q337)),0),G336+F337),0)</f>
        <v>0</v>
      </c>
      <c r="E337" s="384" t="n">
        <f aca="false">D337-F337</f>
        <v>0</v>
      </c>
      <c r="F337" s="384" t="n">
        <f aca="false">G336*$D$4*(C337-C336)/(DATE(YEAR(C337)+1,1,1)-DATE(YEAR(C337),1,1))/100</f>
        <v>0</v>
      </c>
      <c r="G337" s="385" t="n">
        <f aca="false">G336-E337-L337-M337</f>
        <v>0</v>
      </c>
      <c r="H337" s="386" t="n">
        <f aca="false">IFERROR(I337+J337,0)</f>
        <v>0</v>
      </c>
      <c r="I337" s="384" t="n">
        <f aca="false">IFERROR(IF($D$3/$D$5&lt;K336,$D$3/$D$5,K336),0)</f>
        <v>0</v>
      </c>
      <c r="J337" s="384" t="n">
        <f aca="false">K336*$D$4/12/100</f>
        <v>0</v>
      </c>
      <c r="K337" s="387" t="n">
        <f aca="false">K336-I337-L337-M337</f>
        <v>0</v>
      </c>
      <c r="L337" s="388"/>
      <c r="M337" s="389"/>
      <c r="N337" s="409"/>
      <c r="O337" s="409"/>
      <c r="P337" s="391" t="n">
        <f aca="false">IF(ISBLANK(L336),VALUE(P336),ROW(L336))</f>
        <v>10</v>
      </c>
      <c r="Q337" s="314" t="n">
        <f aca="false">Q336+P336-P337</f>
        <v>12</v>
      </c>
      <c r="R337" s="314" t="n">
        <f aca="false">INDEX(G:G,P337,1)</f>
        <v>69000</v>
      </c>
      <c r="S337" s="312"/>
    </row>
    <row r="338" s="379" customFormat="true" ht="14.9" hidden="false" customHeight="false" outlineLevel="0" collapsed="false">
      <c r="A338" s="403" t="n">
        <v>328</v>
      </c>
      <c r="B338" s="381" t="str">
        <f aca="false">CONCATENATE(INT((A338-1)/12)+1,"-й год ",A338-1-INT((A338-1)/12)*12+1,"-й мес")</f>
        <v>28-й год 4-й мес</v>
      </c>
      <c r="C338" s="382" t="n">
        <f aca="false">DATE(YEAR(C337),MONTH(C337)+1,DAY(C337))</f>
        <v>53844</v>
      </c>
      <c r="D338" s="383" t="n">
        <f aca="false">IFERROR(IF(R338*$D$4/100/12/(1-(1+$D$4/100/12)^(-Q338))&lt;G337,ROUNDUP(R338*$D$4/100/12/(1-(1+$D$4/100/12)^(-Q338)),0),G337+F338),0)</f>
        <v>0</v>
      </c>
      <c r="E338" s="384" t="n">
        <f aca="false">D338-F338</f>
        <v>0</v>
      </c>
      <c r="F338" s="384" t="n">
        <f aca="false">G337*$D$4*(C338-C337)/(DATE(YEAR(C338)+1,1,1)-DATE(YEAR(C338),1,1))/100</f>
        <v>0</v>
      </c>
      <c r="G338" s="385" t="n">
        <f aca="false">G337-E338-L338-M338</f>
        <v>0</v>
      </c>
      <c r="H338" s="386" t="n">
        <f aca="false">IFERROR(I338+J338,0)</f>
        <v>0</v>
      </c>
      <c r="I338" s="384" t="n">
        <f aca="false">IFERROR(IF($D$3/$D$5&lt;K337,$D$3/$D$5,K337),0)</f>
        <v>0</v>
      </c>
      <c r="J338" s="384" t="n">
        <f aca="false">K337*$D$4/12/100</f>
        <v>0</v>
      </c>
      <c r="K338" s="387" t="n">
        <f aca="false">K337-I338-L338-M338</f>
        <v>0</v>
      </c>
      <c r="L338" s="388"/>
      <c r="M338" s="389"/>
      <c r="N338" s="409"/>
      <c r="O338" s="409"/>
      <c r="P338" s="391" t="n">
        <f aca="false">IF(ISBLANK(L337),VALUE(P337),ROW(L337))</f>
        <v>10</v>
      </c>
      <c r="Q338" s="314" t="n">
        <f aca="false">Q337+P337-P338</f>
        <v>12</v>
      </c>
      <c r="R338" s="314" t="n">
        <f aca="false">INDEX(G:G,P338,1)</f>
        <v>69000</v>
      </c>
      <c r="S338" s="312"/>
    </row>
    <row r="339" s="379" customFormat="true" ht="14.9" hidden="false" customHeight="false" outlineLevel="0" collapsed="false">
      <c r="A339" s="403" t="n">
        <v>329</v>
      </c>
      <c r="B339" s="381" t="str">
        <f aca="false">CONCATENATE(INT((A339-1)/12)+1,"-й год ",A339-1-INT((A339-1)/12)*12+1,"-й мес")</f>
        <v>28-й год 5-й мес</v>
      </c>
      <c r="C339" s="382" t="n">
        <f aca="false">DATE(YEAR(C338),MONTH(C338)+1,DAY(C338))</f>
        <v>53874</v>
      </c>
      <c r="D339" s="383" t="n">
        <f aca="false">IFERROR(IF(R339*$D$4/100/12/(1-(1+$D$4/100/12)^(-Q339))&lt;G338,ROUNDUP(R339*$D$4/100/12/(1-(1+$D$4/100/12)^(-Q339)),0),G338+F339),0)</f>
        <v>0</v>
      </c>
      <c r="E339" s="384" t="n">
        <f aca="false">D339-F339</f>
        <v>0</v>
      </c>
      <c r="F339" s="384" t="n">
        <f aca="false">G338*$D$4*(C339-C338)/(DATE(YEAR(C339)+1,1,1)-DATE(YEAR(C339),1,1))/100</f>
        <v>0</v>
      </c>
      <c r="G339" s="385" t="n">
        <f aca="false">G338-E339-L339-M339</f>
        <v>0</v>
      </c>
      <c r="H339" s="386" t="n">
        <f aca="false">IFERROR(I339+J339,0)</f>
        <v>0</v>
      </c>
      <c r="I339" s="384" t="n">
        <f aca="false">IFERROR(IF($D$3/$D$5&lt;K338,$D$3/$D$5,K338),0)</f>
        <v>0</v>
      </c>
      <c r="J339" s="384" t="n">
        <f aca="false">K338*$D$4/12/100</f>
        <v>0</v>
      </c>
      <c r="K339" s="387" t="n">
        <f aca="false">K338-I339-L339-M339</f>
        <v>0</v>
      </c>
      <c r="L339" s="388"/>
      <c r="M339" s="389"/>
      <c r="N339" s="409"/>
      <c r="O339" s="409"/>
      <c r="P339" s="391" t="n">
        <f aca="false">IF(ISBLANK(L338),VALUE(P338),ROW(L338))</f>
        <v>10</v>
      </c>
      <c r="Q339" s="314" t="n">
        <f aca="false">Q338+P338-P339</f>
        <v>12</v>
      </c>
      <c r="R339" s="314" t="n">
        <f aca="false">INDEX(G:G,P339,1)</f>
        <v>69000</v>
      </c>
      <c r="S339" s="312"/>
    </row>
    <row r="340" s="379" customFormat="true" ht="14.9" hidden="false" customHeight="false" outlineLevel="0" collapsed="false">
      <c r="A340" s="403" t="n">
        <v>330</v>
      </c>
      <c r="B340" s="381" t="str">
        <f aca="false">CONCATENATE(INT((A340-1)/12)+1,"-й год ",A340-1-INT((A340-1)/12)*12+1,"-й мес")</f>
        <v>28-й год 6-й мес</v>
      </c>
      <c r="C340" s="382" t="n">
        <f aca="false">DATE(YEAR(C339),MONTH(C339)+1,DAY(C339))</f>
        <v>53905</v>
      </c>
      <c r="D340" s="383" t="n">
        <f aca="false">IFERROR(IF(R340*$D$4/100/12/(1-(1+$D$4/100/12)^(-Q340))&lt;G339,ROUNDUP(R340*$D$4/100/12/(1-(1+$D$4/100/12)^(-Q340)),0),G339+F340),0)</f>
        <v>0</v>
      </c>
      <c r="E340" s="384" t="n">
        <f aca="false">D340-F340</f>
        <v>0</v>
      </c>
      <c r="F340" s="384" t="n">
        <f aca="false">G339*$D$4*(C340-C339)/(DATE(YEAR(C340)+1,1,1)-DATE(YEAR(C340),1,1))/100</f>
        <v>0</v>
      </c>
      <c r="G340" s="385" t="n">
        <f aca="false">G339-E340-L340-M340</f>
        <v>0</v>
      </c>
      <c r="H340" s="386" t="n">
        <f aca="false">IFERROR(I340+J340,0)</f>
        <v>0</v>
      </c>
      <c r="I340" s="384" t="n">
        <f aca="false">IFERROR(IF($D$3/$D$5&lt;K339,$D$3/$D$5,K339),0)</f>
        <v>0</v>
      </c>
      <c r="J340" s="384" t="n">
        <f aca="false">K339*$D$4/12/100</f>
        <v>0</v>
      </c>
      <c r="K340" s="387" t="n">
        <f aca="false">K339-I340-L340-M340</f>
        <v>0</v>
      </c>
      <c r="L340" s="388"/>
      <c r="M340" s="389"/>
      <c r="N340" s="409"/>
      <c r="O340" s="409"/>
      <c r="P340" s="391" t="n">
        <f aca="false">IF(ISBLANK(L339),VALUE(P339),ROW(L339))</f>
        <v>10</v>
      </c>
      <c r="Q340" s="314" t="n">
        <f aca="false">Q339+P339-P340</f>
        <v>12</v>
      </c>
      <c r="R340" s="314" t="n">
        <f aca="false">INDEX(G:G,P340,1)</f>
        <v>69000</v>
      </c>
      <c r="S340" s="312"/>
    </row>
    <row r="341" s="379" customFormat="true" ht="14.9" hidden="false" customHeight="false" outlineLevel="0" collapsed="false">
      <c r="A341" s="403" t="n">
        <v>331</v>
      </c>
      <c r="B341" s="381" t="str">
        <f aca="false">CONCATENATE(INT((A341-1)/12)+1,"-й год ",A341-1-INT((A341-1)/12)*12+1,"-й мес")</f>
        <v>28-й год 7-й мес</v>
      </c>
      <c r="C341" s="382" t="n">
        <f aca="false">DATE(YEAR(C340),MONTH(C340)+1,DAY(C340))</f>
        <v>53936</v>
      </c>
      <c r="D341" s="383" t="n">
        <f aca="false">IFERROR(IF(R341*$D$4/100/12/(1-(1+$D$4/100/12)^(-Q341))&lt;G340,ROUNDUP(R341*$D$4/100/12/(1-(1+$D$4/100/12)^(-Q341)),0),G340+F341),0)</f>
        <v>0</v>
      </c>
      <c r="E341" s="384" t="n">
        <f aca="false">D341-F341</f>
        <v>0</v>
      </c>
      <c r="F341" s="384" t="n">
        <f aca="false">G340*$D$4*(C341-C340)/(DATE(YEAR(C341)+1,1,1)-DATE(YEAR(C341),1,1))/100</f>
        <v>0</v>
      </c>
      <c r="G341" s="385" t="n">
        <f aca="false">G340-E341-L341-M341</f>
        <v>0</v>
      </c>
      <c r="H341" s="386" t="n">
        <f aca="false">IFERROR(I341+J341,0)</f>
        <v>0</v>
      </c>
      <c r="I341" s="384" t="n">
        <f aca="false">IFERROR(IF($D$3/$D$5&lt;K340,$D$3/$D$5,K340),0)</f>
        <v>0</v>
      </c>
      <c r="J341" s="384" t="n">
        <f aca="false">K340*$D$4/12/100</f>
        <v>0</v>
      </c>
      <c r="K341" s="387" t="n">
        <f aca="false">K340-I341-L341-M341</f>
        <v>0</v>
      </c>
      <c r="L341" s="388"/>
      <c r="M341" s="389"/>
      <c r="N341" s="409"/>
      <c r="O341" s="409"/>
      <c r="P341" s="391" t="n">
        <f aca="false">IF(ISBLANK(L340),VALUE(P340),ROW(L340))</f>
        <v>10</v>
      </c>
      <c r="Q341" s="314" t="n">
        <f aca="false">Q340+P340-P341</f>
        <v>12</v>
      </c>
      <c r="R341" s="314" t="n">
        <f aca="false">INDEX(G:G,P341,1)</f>
        <v>69000</v>
      </c>
      <c r="S341" s="312"/>
    </row>
    <row r="342" s="379" customFormat="true" ht="14.9" hidden="false" customHeight="false" outlineLevel="0" collapsed="false">
      <c r="A342" s="403" t="n">
        <v>332</v>
      </c>
      <c r="B342" s="381" t="str">
        <f aca="false">CONCATENATE(INT((A342-1)/12)+1,"-й год ",A342-1-INT((A342-1)/12)*12+1,"-й мес")</f>
        <v>28-й год 8-й мес</v>
      </c>
      <c r="C342" s="382" t="n">
        <f aca="false">DATE(YEAR(C341),MONTH(C341)+1,DAY(C341))</f>
        <v>53966</v>
      </c>
      <c r="D342" s="383" t="n">
        <f aca="false">IFERROR(IF(R342*$D$4/100/12/(1-(1+$D$4/100/12)^(-Q342))&lt;G341,ROUNDUP(R342*$D$4/100/12/(1-(1+$D$4/100/12)^(-Q342)),0),G341+F342),0)</f>
        <v>0</v>
      </c>
      <c r="E342" s="384" t="n">
        <f aca="false">D342-F342</f>
        <v>0</v>
      </c>
      <c r="F342" s="384" t="n">
        <f aca="false">G341*$D$4*(C342-C341)/(DATE(YEAR(C342)+1,1,1)-DATE(YEAR(C342),1,1))/100</f>
        <v>0</v>
      </c>
      <c r="G342" s="385" t="n">
        <f aca="false">G341-E342-L342-M342</f>
        <v>0</v>
      </c>
      <c r="H342" s="386" t="n">
        <f aca="false">IFERROR(I342+J342,0)</f>
        <v>0</v>
      </c>
      <c r="I342" s="384" t="n">
        <f aca="false">IFERROR(IF($D$3/$D$5&lt;K341,$D$3/$D$5,K341),0)</f>
        <v>0</v>
      </c>
      <c r="J342" s="384" t="n">
        <f aca="false">K341*$D$4/12/100</f>
        <v>0</v>
      </c>
      <c r="K342" s="387" t="n">
        <f aca="false">K341-I342-L342-M342</f>
        <v>0</v>
      </c>
      <c r="L342" s="388"/>
      <c r="M342" s="389"/>
      <c r="N342" s="409"/>
      <c r="O342" s="409"/>
      <c r="P342" s="391" t="n">
        <f aca="false">IF(ISBLANK(L341),VALUE(P341),ROW(L341))</f>
        <v>10</v>
      </c>
      <c r="Q342" s="314" t="n">
        <f aca="false">Q341+P341-P342</f>
        <v>12</v>
      </c>
      <c r="R342" s="314" t="n">
        <f aca="false">INDEX(G:G,P342,1)</f>
        <v>69000</v>
      </c>
      <c r="S342" s="312"/>
    </row>
    <row r="343" s="379" customFormat="true" ht="14.9" hidden="false" customHeight="false" outlineLevel="0" collapsed="false">
      <c r="A343" s="403" t="n">
        <v>333</v>
      </c>
      <c r="B343" s="381" t="str">
        <f aca="false">CONCATENATE(INT((A343-1)/12)+1,"-й год ",A343-1-INT((A343-1)/12)*12+1,"-й мес")</f>
        <v>28-й год 9-й мес</v>
      </c>
      <c r="C343" s="382" t="n">
        <f aca="false">DATE(YEAR(C342),MONTH(C342)+1,DAY(C342))</f>
        <v>53997</v>
      </c>
      <c r="D343" s="383" t="n">
        <f aca="false">IFERROR(IF(R343*$D$4/100/12/(1-(1+$D$4/100/12)^(-Q343))&lt;G342,ROUNDUP(R343*$D$4/100/12/(1-(1+$D$4/100/12)^(-Q343)),0),G342+F343),0)</f>
        <v>0</v>
      </c>
      <c r="E343" s="384" t="n">
        <f aca="false">D343-F343</f>
        <v>0</v>
      </c>
      <c r="F343" s="384" t="n">
        <f aca="false">G342*$D$4*(C343-C342)/(DATE(YEAR(C343)+1,1,1)-DATE(YEAR(C343),1,1))/100</f>
        <v>0</v>
      </c>
      <c r="G343" s="385" t="n">
        <f aca="false">G342-E343-L343-M343</f>
        <v>0</v>
      </c>
      <c r="H343" s="386" t="n">
        <f aca="false">IFERROR(I343+J343,0)</f>
        <v>0</v>
      </c>
      <c r="I343" s="384" t="n">
        <f aca="false">IFERROR(IF($D$3/$D$5&lt;K342,$D$3/$D$5,K342),0)</f>
        <v>0</v>
      </c>
      <c r="J343" s="384" t="n">
        <f aca="false">K342*$D$4/12/100</f>
        <v>0</v>
      </c>
      <c r="K343" s="387" t="n">
        <f aca="false">K342-I343-L343-M343</f>
        <v>0</v>
      </c>
      <c r="L343" s="388"/>
      <c r="M343" s="389"/>
      <c r="N343" s="409"/>
      <c r="O343" s="409"/>
      <c r="P343" s="391" t="n">
        <f aca="false">IF(ISBLANK(L342),VALUE(P342),ROW(L342))</f>
        <v>10</v>
      </c>
      <c r="Q343" s="314" t="n">
        <f aca="false">Q342+P342-P343</f>
        <v>12</v>
      </c>
      <c r="R343" s="314" t="n">
        <f aca="false">INDEX(G:G,P343,1)</f>
        <v>69000</v>
      </c>
      <c r="S343" s="312"/>
    </row>
    <row r="344" s="379" customFormat="true" ht="14.9" hidden="false" customHeight="false" outlineLevel="0" collapsed="false">
      <c r="A344" s="403" t="n">
        <v>334</v>
      </c>
      <c r="B344" s="381" t="str">
        <f aca="false">CONCATENATE(INT((A344-1)/12)+1,"-й год ",A344-1-INT((A344-1)/12)*12+1,"-й мес")</f>
        <v>28-й год 10-й мес</v>
      </c>
      <c r="C344" s="382" t="n">
        <f aca="false">DATE(YEAR(C343),MONTH(C343)+1,DAY(C343))</f>
        <v>54027</v>
      </c>
      <c r="D344" s="383" t="n">
        <f aca="false">IFERROR(IF(R344*$D$4/100/12/(1-(1+$D$4/100/12)^(-Q344))&lt;G343,ROUNDUP(R344*$D$4/100/12/(1-(1+$D$4/100/12)^(-Q344)),0),G343+F344),0)</f>
        <v>0</v>
      </c>
      <c r="E344" s="384" t="n">
        <f aca="false">D344-F344</f>
        <v>0</v>
      </c>
      <c r="F344" s="384" t="n">
        <f aca="false">G343*$D$4*(C344-C343)/(DATE(YEAR(C344)+1,1,1)-DATE(YEAR(C344),1,1))/100</f>
        <v>0</v>
      </c>
      <c r="G344" s="385" t="n">
        <f aca="false">G343-E344-L344-M344</f>
        <v>0</v>
      </c>
      <c r="H344" s="386" t="n">
        <f aca="false">IFERROR(I344+J344,0)</f>
        <v>0</v>
      </c>
      <c r="I344" s="384" t="n">
        <f aca="false">IFERROR(IF($D$3/$D$5&lt;K343,$D$3/$D$5,K343),0)</f>
        <v>0</v>
      </c>
      <c r="J344" s="384" t="n">
        <f aca="false">K343*$D$4/12/100</f>
        <v>0</v>
      </c>
      <c r="K344" s="387" t="n">
        <f aca="false">K343-I344-L344-M344</f>
        <v>0</v>
      </c>
      <c r="L344" s="388"/>
      <c r="M344" s="389"/>
      <c r="N344" s="409"/>
      <c r="O344" s="409"/>
      <c r="P344" s="391" t="n">
        <f aca="false">IF(ISBLANK(L343),VALUE(P343),ROW(L343))</f>
        <v>10</v>
      </c>
      <c r="Q344" s="314" t="n">
        <f aca="false">Q343+P343-P344</f>
        <v>12</v>
      </c>
      <c r="R344" s="314" t="n">
        <f aca="false">INDEX(G:G,P344,1)</f>
        <v>69000</v>
      </c>
      <c r="S344" s="312"/>
    </row>
    <row r="345" s="379" customFormat="true" ht="14.9" hidden="false" customHeight="false" outlineLevel="0" collapsed="false">
      <c r="A345" s="403" t="n">
        <v>335</v>
      </c>
      <c r="B345" s="381" t="str">
        <f aca="false">CONCATENATE(INT((A345-1)/12)+1,"-й год ",A345-1-INT((A345-1)/12)*12+1,"-й мес")</f>
        <v>28-й год 11-й мес</v>
      </c>
      <c r="C345" s="382" t="n">
        <f aca="false">DATE(YEAR(C344),MONTH(C344)+1,DAY(C344))</f>
        <v>54058</v>
      </c>
      <c r="D345" s="383" t="n">
        <f aca="false">IFERROR(IF(R345*$D$4/100/12/(1-(1+$D$4/100/12)^(-Q345))&lt;G344,ROUNDUP(R345*$D$4/100/12/(1-(1+$D$4/100/12)^(-Q345)),0),G344+F345),0)</f>
        <v>0</v>
      </c>
      <c r="E345" s="384" t="n">
        <f aca="false">D345-F345</f>
        <v>0</v>
      </c>
      <c r="F345" s="384" t="n">
        <f aca="false">G344*$D$4*(C345-C344)/(DATE(YEAR(C345)+1,1,1)-DATE(YEAR(C345),1,1))/100</f>
        <v>0</v>
      </c>
      <c r="G345" s="385" t="n">
        <f aca="false">G344-E345-L345-M345</f>
        <v>0</v>
      </c>
      <c r="H345" s="386" t="n">
        <f aca="false">IFERROR(I345+J345,0)</f>
        <v>0</v>
      </c>
      <c r="I345" s="384" t="n">
        <f aca="false">IFERROR(IF($D$3/$D$5&lt;K344,$D$3/$D$5,K344),0)</f>
        <v>0</v>
      </c>
      <c r="J345" s="384" t="n">
        <f aca="false">K344*$D$4/12/100</f>
        <v>0</v>
      </c>
      <c r="K345" s="387" t="n">
        <f aca="false">K344-I345-L345-M345</f>
        <v>0</v>
      </c>
      <c r="L345" s="388"/>
      <c r="M345" s="389"/>
      <c r="N345" s="409"/>
      <c r="O345" s="409"/>
      <c r="P345" s="391" t="n">
        <f aca="false">IF(ISBLANK(L344),VALUE(P344),ROW(L344))</f>
        <v>10</v>
      </c>
      <c r="Q345" s="314" t="n">
        <f aca="false">Q344+P344-P345</f>
        <v>12</v>
      </c>
      <c r="R345" s="314" t="n">
        <f aca="false">INDEX(G:G,P345,1)</f>
        <v>69000</v>
      </c>
      <c r="S345" s="312"/>
    </row>
    <row r="346" s="379" customFormat="true" ht="14.9" hidden="false" customHeight="false" outlineLevel="0" collapsed="false">
      <c r="A346" s="404" t="n">
        <v>336</v>
      </c>
      <c r="B346" s="392" t="str">
        <f aca="false">CONCATENATE(INT((A346-1)/12)+1,"-й год ",A346-1-INT((A346-1)/12)*12+1,"-й мес")</f>
        <v>28-й год 12-й мес</v>
      </c>
      <c r="C346" s="393" t="n">
        <f aca="false">DATE(YEAR(C345),MONTH(C345)+1,DAY(C345))</f>
        <v>54089</v>
      </c>
      <c r="D346" s="394" t="n">
        <f aca="false">IFERROR(IF(R346*$D$4/100/12/(1-(1+$D$4/100/12)^(-Q346))&lt;G345,ROUNDUP(R346*$D$4/100/12/(1-(1+$D$4/100/12)^(-Q346)),0),G345+F346),0)</f>
        <v>0</v>
      </c>
      <c r="E346" s="395" t="n">
        <f aca="false">D346-F346</f>
        <v>0</v>
      </c>
      <c r="F346" s="395" t="n">
        <f aca="false">G345*$D$4*(C346-C345)/(DATE(YEAR(C346)+1,1,1)-DATE(YEAR(C346),1,1))/100</f>
        <v>0</v>
      </c>
      <c r="G346" s="405" t="n">
        <f aca="false">G345-E346-L346-M346</f>
        <v>0</v>
      </c>
      <c r="H346" s="406" t="n">
        <f aca="false">IFERROR(I346+J346,0)</f>
        <v>0</v>
      </c>
      <c r="I346" s="395" t="n">
        <f aca="false">IFERROR(IF($D$3/$D$5&lt;K345,$D$3/$D$5,K345),0)</f>
        <v>0</v>
      </c>
      <c r="J346" s="395" t="n">
        <f aca="false">K345*$D$4/12/100</f>
        <v>0</v>
      </c>
      <c r="K346" s="407" t="n">
        <f aca="false">K345-I346-L346-M346</f>
        <v>0</v>
      </c>
      <c r="L346" s="408"/>
      <c r="M346" s="410"/>
      <c r="N346" s="409"/>
      <c r="O346" s="409"/>
      <c r="P346" s="391" t="n">
        <f aca="false">IF(ISBLANK(L345),VALUE(P345),ROW(L345))</f>
        <v>10</v>
      </c>
      <c r="Q346" s="314" t="n">
        <f aca="false">Q345+P345-P346</f>
        <v>12</v>
      </c>
      <c r="R346" s="314" t="n">
        <f aca="false">INDEX(G:G,P346,1)</f>
        <v>69000</v>
      </c>
      <c r="S346" s="312"/>
    </row>
    <row r="347" s="379" customFormat="true" ht="14.9" hidden="false" customHeight="false" outlineLevel="0" collapsed="false">
      <c r="A347" s="380" t="n">
        <v>337</v>
      </c>
      <c r="B347" s="381" t="str">
        <f aca="false">CONCATENATE(INT((A347-1)/12)+1,"-й год ",A347-1-INT((A347-1)/12)*12+1,"-й мес")</f>
        <v>29-й год 1-й мес</v>
      </c>
      <c r="C347" s="382" t="n">
        <f aca="false">DATE(YEAR(C346),MONTH(C346)+1,DAY(C346))</f>
        <v>54118</v>
      </c>
      <c r="D347" s="383" t="n">
        <f aca="false">IFERROR(IF(R347*$D$4/100/12/(1-(1+$D$4/100/12)^(-Q347))&lt;G346,ROUNDUP(R347*$D$4/100/12/(1-(1+$D$4/100/12)^(-Q347)),0),G346+F347),0)</f>
        <v>0</v>
      </c>
      <c r="E347" s="384" t="n">
        <f aca="false">D347-F347</f>
        <v>0</v>
      </c>
      <c r="F347" s="384" t="n">
        <f aca="false">G346*$D$4*(C347-C346)/(DATE(YEAR(C347)+1,1,1)-DATE(YEAR(C347),1,1))/100</f>
        <v>0</v>
      </c>
      <c r="G347" s="385" t="n">
        <f aca="false">G346-E347-L347-M347</f>
        <v>0</v>
      </c>
      <c r="H347" s="386" t="n">
        <f aca="false">IFERROR(I347+J347,0)</f>
        <v>0</v>
      </c>
      <c r="I347" s="384" t="n">
        <f aca="false">IFERROR(IF($D$3/$D$5&lt;K346,$D$3/$D$5,K346),0)</f>
        <v>0</v>
      </c>
      <c r="J347" s="384" t="n">
        <f aca="false">K346*$D$4/12/100</f>
        <v>0</v>
      </c>
      <c r="K347" s="387" t="n">
        <f aca="false">K346-I347-L347-M347</f>
        <v>0</v>
      </c>
      <c r="L347" s="388"/>
      <c r="M347" s="389"/>
      <c r="N347" s="409"/>
      <c r="O347" s="409"/>
      <c r="P347" s="391" t="n">
        <f aca="false">IF(ISBLANK(L346),VALUE(P346),ROW(L346))</f>
        <v>10</v>
      </c>
      <c r="Q347" s="314" t="n">
        <f aca="false">Q346+P346-P347</f>
        <v>12</v>
      </c>
      <c r="R347" s="314" t="n">
        <f aca="false">INDEX(G:G,P347,1)</f>
        <v>69000</v>
      </c>
      <c r="S347" s="312"/>
    </row>
    <row r="348" s="379" customFormat="true" ht="14.9" hidden="false" customHeight="false" outlineLevel="0" collapsed="false">
      <c r="A348" s="380" t="n">
        <v>338</v>
      </c>
      <c r="B348" s="381" t="str">
        <f aca="false">CONCATENATE(INT((A348-1)/12)+1,"-й год ",A348-1-INT((A348-1)/12)*12+1,"-й мес")</f>
        <v>29-й год 2-й мес</v>
      </c>
      <c r="C348" s="382" t="n">
        <f aca="false">DATE(YEAR(C347),MONTH(C347)+1,DAY(C347))</f>
        <v>54149</v>
      </c>
      <c r="D348" s="383" t="n">
        <f aca="false">IFERROR(IF(R348*$D$4/100/12/(1-(1+$D$4/100/12)^(-Q348))&lt;G347,ROUNDUP(R348*$D$4/100/12/(1-(1+$D$4/100/12)^(-Q348)),0),G347+F348),0)</f>
        <v>0</v>
      </c>
      <c r="E348" s="384" t="n">
        <f aca="false">D348-F348</f>
        <v>0</v>
      </c>
      <c r="F348" s="384" t="n">
        <f aca="false">G347*$D$4*(C348-C347)/(DATE(YEAR(C348)+1,1,1)-DATE(YEAR(C348),1,1))/100</f>
        <v>0</v>
      </c>
      <c r="G348" s="385" t="n">
        <f aca="false">G347-E348-L348-M348</f>
        <v>0</v>
      </c>
      <c r="H348" s="386" t="n">
        <f aca="false">IFERROR(I348+J348,0)</f>
        <v>0</v>
      </c>
      <c r="I348" s="384" t="n">
        <f aca="false">IFERROR(IF($D$3/$D$5&lt;K347,$D$3/$D$5,K347),0)</f>
        <v>0</v>
      </c>
      <c r="J348" s="384" t="n">
        <f aca="false">K347*$D$4/12/100</f>
        <v>0</v>
      </c>
      <c r="K348" s="387" t="n">
        <f aca="false">K347-I348-L348-M348</f>
        <v>0</v>
      </c>
      <c r="L348" s="388"/>
      <c r="M348" s="389"/>
      <c r="N348" s="409"/>
      <c r="O348" s="409"/>
      <c r="P348" s="391" t="n">
        <f aca="false">IF(ISBLANK(L347),VALUE(P347),ROW(L347))</f>
        <v>10</v>
      </c>
      <c r="Q348" s="314" t="n">
        <f aca="false">Q347+P347-P348</f>
        <v>12</v>
      </c>
      <c r="R348" s="314" t="n">
        <f aca="false">INDEX(G:G,P348,1)</f>
        <v>69000</v>
      </c>
      <c r="S348" s="312"/>
    </row>
    <row r="349" s="379" customFormat="true" ht="14.9" hidden="false" customHeight="false" outlineLevel="0" collapsed="false">
      <c r="A349" s="380" t="n">
        <v>339</v>
      </c>
      <c r="B349" s="381" t="str">
        <f aca="false">CONCATENATE(INT((A349-1)/12)+1,"-й год ",A349-1-INT((A349-1)/12)*12+1,"-й мес")</f>
        <v>29-й год 3-й мес</v>
      </c>
      <c r="C349" s="382" t="n">
        <f aca="false">DATE(YEAR(C348),MONTH(C348)+1,DAY(C348))</f>
        <v>54179</v>
      </c>
      <c r="D349" s="383" t="n">
        <f aca="false">IFERROR(IF(R349*$D$4/100/12/(1-(1+$D$4/100/12)^(-Q349))&lt;G348,ROUNDUP(R349*$D$4/100/12/(1-(1+$D$4/100/12)^(-Q349)),0),G348+F349),0)</f>
        <v>0</v>
      </c>
      <c r="E349" s="384" t="n">
        <f aca="false">D349-F349</f>
        <v>0</v>
      </c>
      <c r="F349" s="384" t="n">
        <f aca="false">G348*$D$4*(C349-C348)/(DATE(YEAR(C349)+1,1,1)-DATE(YEAR(C349),1,1))/100</f>
        <v>0</v>
      </c>
      <c r="G349" s="385" t="n">
        <f aca="false">G348-E349-L349-M349</f>
        <v>0</v>
      </c>
      <c r="H349" s="386" t="n">
        <f aca="false">IFERROR(I349+J349,0)</f>
        <v>0</v>
      </c>
      <c r="I349" s="384" t="n">
        <f aca="false">IFERROR(IF($D$3/$D$5&lt;K348,$D$3/$D$5,K348),0)</f>
        <v>0</v>
      </c>
      <c r="J349" s="384" t="n">
        <f aca="false">K348*$D$4/12/100</f>
        <v>0</v>
      </c>
      <c r="K349" s="387" t="n">
        <f aca="false">K348-I349-L349-M349</f>
        <v>0</v>
      </c>
      <c r="L349" s="388"/>
      <c r="M349" s="389"/>
      <c r="N349" s="409"/>
      <c r="O349" s="409"/>
      <c r="P349" s="391" t="n">
        <f aca="false">IF(ISBLANK(L348),VALUE(P348),ROW(L348))</f>
        <v>10</v>
      </c>
      <c r="Q349" s="314" t="n">
        <f aca="false">Q348+P348-P349</f>
        <v>12</v>
      </c>
      <c r="R349" s="314" t="n">
        <f aca="false">INDEX(G:G,P349,1)</f>
        <v>69000</v>
      </c>
      <c r="S349" s="312"/>
    </row>
    <row r="350" s="379" customFormat="true" ht="14.9" hidden="false" customHeight="false" outlineLevel="0" collapsed="false">
      <c r="A350" s="380" t="n">
        <v>340</v>
      </c>
      <c r="B350" s="381" t="str">
        <f aca="false">CONCATENATE(INT((A350-1)/12)+1,"-й год ",A350-1-INT((A350-1)/12)*12+1,"-й мес")</f>
        <v>29-й год 4-й мес</v>
      </c>
      <c r="C350" s="382" t="n">
        <f aca="false">DATE(YEAR(C349),MONTH(C349)+1,DAY(C349))</f>
        <v>54210</v>
      </c>
      <c r="D350" s="383" t="n">
        <f aca="false">IFERROR(IF(R350*$D$4/100/12/(1-(1+$D$4/100/12)^(-Q350))&lt;G349,ROUNDUP(R350*$D$4/100/12/(1-(1+$D$4/100/12)^(-Q350)),0),G349+F350),0)</f>
        <v>0</v>
      </c>
      <c r="E350" s="384" t="n">
        <f aca="false">D350-F350</f>
        <v>0</v>
      </c>
      <c r="F350" s="384" t="n">
        <f aca="false">G349*$D$4*(C350-C349)/(DATE(YEAR(C350)+1,1,1)-DATE(YEAR(C350),1,1))/100</f>
        <v>0</v>
      </c>
      <c r="G350" s="385" t="n">
        <f aca="false">G349-E350-L350-M350</f>
        <v>0</v>
      </c>
      <c r="H350" s="386" t="n">
        <f aca="false">IFERROR(I350+J350,0)</f>
        <v>0</v>
      </c>
      <c r="I350" s="384" t="n">
        <f aca="false">IFERROR(IF($D$3/$D$5&lt;K349,$D$3/$D$5,K349),0)</f>
        <v>0</v>
      </c>
      <c r="J350" s="384" t="n">
        <f aca="false">K349*$D$4/12/100</f>
        <v>0</v>
      </c>
      <c r="K350" s="387" t="n">
        <f aca="false">K349-I350-L350-M350</f>
        <v>0</v>
      </c>
      <c r="L350" s="388"/>
      <c r="M350" s="389"/>
      <c r="N350" s="409"/>
      <c r="O350" s="409"/>
      <c r="P350" s="391" t="n">
        <f aca="false">IF(ISBLANK(L349),VALUE(P349),ROW(L349))</f>
        <v>10</v>
      </c>
      <c r="Q350" s="314" t="n">
        <f aca="false">Q349+P349-P350</f>
        <v>12</v>
      </c>
      <c r="R350" s="314" t="n">
        <f aca="false">INDEX(G:G,P350,1)</f>
        <v>69000</v>
      </c>
      <c r="S350" s="312"/>
    </row>
    <row r="351" s="379" customFormat="true" ht="14.9" hidden="false" customHeight="false" outlineLevel="0" collapsed="false">
      <c r="A351" s="380" t="n">
        <v>341</v>
      </c>
      <c r="B351" s="381" t="str">
        <f aca="false">CONCATENATE(INT((A351-1)/12)+1,"-й год ",A351-1-INT((A351-1)/12)*12+1,"-й мес")</f>
        <v>29-й год 5-й мес</v>
      </c>
      <c r="C351" s="382" t="n">
        <f aca="false">DATE(YEAR(C350),MONTH(C350)+1,DAY(C350))</f>
        <v>54240</v>
      </c>
      <c r="D351" s="383" t="n">
        <f aca="false">IFERROR(IF(R351*$D$4/100/12/(1-(1+$D$4/100/12)^(-Q351))&lt;G350,ROUNDUP(R351*$D$4/100/12/(1-(1+$D$4/100/12)^(-Q351)),0),G350+F351),0)</f>
        <v>0</v>
      </c>
      <c r="E351" s="384" t="n">
        <f aca="false">D351-F351</f>
        <v>0</v>
      </c>
      <c r="F351" s="384" t="n">
        <f aca="false">G350*$D$4*(C351-C350)/(DATE(YEAR(C351)+1,1,1)-DATE(YEAR(C351),1,1))/100</f>
        <v>0</v>
      </c>
      <c r="G351" s="385" t="n">
        <f aca="false">G350-E351-L351-M351</f>
        <v>0</v>
      </c>
      <c r="H351" s="386" t="n">
        <f aca="false">IFERROR(I351+J351,0)</f>
        <v>0</v>
      </c>
      <c r="I351" s="384" t="n">
        <f aca="false">IFERROR(IF($D$3/$D$5&lt;K350,$D$3/$D$5,K350),0)</f>
        <v>0</v>
      </c>
      <c r="J351" s="384" t="n">
        <f aca="false">K350*$D$4/12/100</f>
        <v>0</v>
      </c>
      <c r="K351" s="387" t="n">
        <f aca="false">K350-I351-L351-M351</f>
        <v>0</v>
      </c>
      <c r="L351" s="388"/>
      <c r="M351" s="389"/>
      <c r="N351" s="409"/>
      <c r="O351" s="409"/>
      <c r="P351" s="391" t="n">
        <f aca="false">IF(ISBLANK(L350),VALUE(P350),ROW(L350))</f>
        <v>10</v>
      </c>
      <c r="Q351" s="314" t="n">
        <f aca="false">Q350+P350-P351</f>
        <v>12</v>
      </c>
      <c r="R351" s="314" t="n">
        <f aca="false">INDEX(G:G,P351,1)</f>
        <v>69000</v>
      </c>
      <c r="S351" s="312"/>
    </row>
    <row r="352" s="379" customFormat="true" ht="14.9" hidden="false" customHeight="false" outlineLevel="0" collapsed="false">
      <c r="A352" s="380" t="n">
        <v>342</v>
      </c>
      <c r="B352" s="381" t="str">
        <f aca="false">CONCATENATE(INT((A352-1)/12)+1,"-й год ",A352-1-INT((A352-1)/12)*12+1,"-й мес")</f>
        <v>29-й год 6-й мес</v>
      </c>
      <c r="C352" s="382" t="n">
        <f aca="false">DATE(YEAR(C351),MONTH(C351)+1,DAY(C351))</f>
        <v>54271</v>
      </c>
      <c r="D352" s="383" t="n">
        <f aca="false">IFERROR(IF(R352*$D$4/100/12/(1-(1+$D$4/100/12)^(-Q352))&lt;G351,ROUNDUP(R352*$D$4/100/12/(1-(1+$D$4/100/12)^(-Q352)),0),G351+F352),0)</f>
        <v>0</v>
      </c>
      <c r="E352" s="384" t="n">
        <f aca="false">D352-F352</f>
        <v>0</v>
      </c>
      <c r="F352" s="384" t="n">
        <f aca="false">G351*$D$4*(C352-C351)/(DATE(YEAR(C352)+1,1,1)-DATE(YEAR(C352),1,1))/100</f>
        <v>0</v>
      </c>
      <c r="G352" s="385" t="n">
        <f aca="false">G351-E352-L352-M352</f>
        <v>0</v>
      </c>
      <c r="H352" s="386" t="n">
        <f aca="false">IFERROR(I352+J352,0)</f>
        <v>0</v>
      </c>
      <c r="I352" s="384" t="n">
        <f aca="false">IFERROR(IF($D$3/$D$5&lt;K351,$D$3/$D$5,K351),0)</f>
        <v>0</v>
      </c>
      <c r="J352" s="384" t="n">
        <f aca="false">K351*$D$4/12/100</f>
        <v>0</v>
      </c>
      <c r="K352" s="387" t="n">
        <f aca="false">K351-I352-L352-M352</f>
        <v>0</v>
      </c>
      <c r="L352" s="388"/>
      <c r="M352" s="389"/>
      <c r="N352" s="409"/>
      <c r="O352" s="409"/>
      <c r="P352" s="391" t="n">
        <f aca="false">IF(ISBLANK(L351),VALUE(P351),ROW(L351))</f>
        <v>10</v>
      </c>
      <c r="Q352" s="314" t="n">
        <f aca="false">Q351+P351-P352</f>
        <v>12</v>
      </c>
      <c r="R352" s="314" t="n">
        <f aca="false">INDEX(G:G,P352,1)</f>
        <v>69000</v>
      </c>
      <c r="S352" s="312"/>
    </row>
    <row r="353" s="379" customFormat="true" ht="14.9" hidden="false" customHeight="false" outlineLevel="0" collapsed="false">
      <c r="A353" s="380" t="n">
        <v>343</v>
      </c>
      <c r="B353" s="381" t="str">
        <f aca="false">CONCATENATE(INT((A353-1)/12)+1,"-й год ",A353-1-INT((A353-1)/12)*12+1,"-й мес")</f>
        <v>29-й год 7-й мес</v>
      </c>
      <c r="C353" s="382" t="n">
        <f aca="false">DATE(YEAR(C352),MONTH(C352)+1,DAY(C352))</f>
        <v>54302</v>
      </c>
      <c r="D353" s="383" t="n">
        <f aca="false">IFERROR(IF(R353*$D$4/100/12/(1-(1+$D$4/100/12)^(-Q353))&lt;G352,ROUNDUP(R353*$D$4/100/12/(1-(1+$D$4/100/12)^(-Q353)),0),G352+F353),0)</f>
        <v>0</v>
      </c>
      <c r="E353" s="384" t="n">
        <f aca="false">D353-F353</f>
        <v>0</v>
      </c>
      <c r="F353" s="384" t="n">
        <f aca="false">G352*$D$4*(C353-C352)/(DATE(YEAR(C353)+1,1,1)-DATE(YEAR(C353),1,1))/100</f>
        <v>0</v>
      </c>
      <c r="G353" s="385" t="n">
        <f aca="false">G352-E353-L353-M353</f>
        <v>0</v>
      </c>
      <c r="H353" s="386" t="n">
        <f aca="false">IFERROR(I353+J353,0)</f>
        <v>0</v>
      </c>
      <c r="I353" s="384" t="n">
        <f aca="false">IFERROR(IF($D$3/$D$5&lt;K352,$D$3/$D$5,K352),0)</f>
        <v>0</v>
      </c>
      <c r="J353" s="384" t="n">
        <f aca="false">K352*$D$4/12/100</f>
        <v>0</v>
      </c>
      <c r="K353" s="387" t="n">
        <f aca="false">K352-I353-L353-M353</f>
        <v>0</v>
      </c>
      <c r="L353" s="388"/>
      <c r="M353" s="389"/>
      <c r="N353" s="409"/>
      <c r="O353" s="409"/>
      <c r="P353" s="391" t="n">
        <f aca="false">IF(ISBLANK(L352),VALUE(P352),ROW(L352))</f>
        <v>10</v>
      </c>
      <c r="Q353" s="314" t="n">
        <f aca="false">Q352+P352-P353</f>
        <v>12</v>
      </c>
      <c r="R353" s="314" t="n">
        <f aca="false">INDEX(G:G,P353,1)</f>
        <v>69000</v>
      </c>
      <c r="S353" s="312"/>
    </row>
    <row r="354" s="379" customFormat="true" ht="14.9" hidden="false" customHeight="false" outlineLevel="0" collapsed="false">
      <c r="A354" s="380" t="n">
        <v>344</v>
      </c>
      <c r="B354" s="381" t="str">
        <f aca="false">CONCATENATE(INT((A354-1)/12)+1,"-й год ",A354-1-INT((A354-1)/12)*12+1,"-й мес")</f>
        <v>29-й год 8-й мес</v>
      </c>
      <c r="C354" s="382" t="n">
        <f aca="false">DATE(YEAR(C353),MONTH(C353)+1,DAY(C353))</f>
        <v>54332</v>
      </c>
      <c r="D354" s="383" t="n">
        <f aca="false">IFERROR(IF(R354*$D$4/100/12/(1-(1+$D$4/100/12)^(-Q354))&lt;G353,ROUNDUP(R354*$D$4/100/12/(1-(1+$D$4/100/12)^(-Q354)),0),G353+F354),0)</f>
        <v>0</v>
      </c>
      <c r="E354" s="384" t="n">
        <f aca="false">D354-F354</f>
        <v>0</v>
      </c>
      <c r="F354" s="384" t="n">
        <f aca="false">G353*$D$4*(C354-C353)/(DATE(YEAR(C354)+1,1,1)-DATE(YEAR(C354),1,1))/100</f>
        <v>0</v>
      </c>
      <c r="G354" s="385" t="n">
        <f aca="false">G353-E354-L354-M354</f>
        <v>0</v>
      </c>
      <c r="H354" s="386" t="n">
        <f aca="false">IFERROR(I354+J354,0)</f>
        <v>0</v>
      </c>
      <c r="I354" s="384" t="n">
        <f aca="false">IFERROR(IF($D$3/$D$5&lt;K353,$D$3/$D$5,K353),0)</f>
        <v>0</v>
      </c>
      <c r="J354" s="384" t="n">
        <f aca="false">K353*$D$4/12/100</f>
        <v>0</v>
      </c>
      <c r="K354" s="387" t="n">
        <f aca="false">K353-I354-L354-M354</f>
        <v>0</v>
      </c>
      <c r="L354" s="388"/>
      <c r="M354" s="389"/>
      <c r="N354" s="409"/>
      <c r="O354" s="409"/>
      <c r="P354" s="391" t="n">
        <f aca="false">IF(ISBLANK(L353),VALUE(P353),ROW(L353))</f>
        <v>10</v>
      </c>
      <c r="Q354" s="314" t="n">
        <f aca="false">Q353+P353-P354</f>
        <v>12</v>
      </c>
      <c r="R354" s="314" t="n">
        <f aca="false">INDEX(G:G,P354,1)</f>
        <v>69000</v>
      </c>
      <c r="S354" s="312"/>
    </row>
    <row r="355" s="379" customFormat="true" ht="14.9" hidden="false" customHeight="false" outlineLevel="0" collapsed="false">
      <c r="A355" s="380" t="n">
        <v>345</v>
      </c>
      <c r="B355" s="381" t="str">
        <f aca="false">CONCATENATE(INT((A355-1)/12)+1,"-й год ",A355-1-INT((A355-1)/12)*12+1,"-й мес")</f>
        <v>29-й год 9-й мес</v>
      </c>
      <c r="C355" s="382" t="n">
        <f aca="false">DATE(YEAR(C354),MONTH(C354)+1,DAY(C354))</f>
        <v>54363</v>
      </c>
      <c r="D355" s="383" t="n">
        <f aca="false">IFERROR(IF(R355*$D$4/100/12/(1-(1+$D$4/100/12)^(-Q355))&lt;G354,ROUNDUP(R355*$D$4/100/12/(1-(1+$D$4/100/12)^(-Q355)),0),G354+F355),0)</f>
        <v>0</v>
      </c>
      <c r="E355" s="384" t="n">
        <f aca="false">D355-F355</f>
        <v>0</v>
      </c>
      <c r="F355" s="384" t="n">
        <f aca="false">G354*$D$4*(C355-C354)/(DATE(YEAR(C355)+1,1,1)-DATE(YEAR(C355),1,1))/100</f>
        <v>0</v>
      </c>
      <c r="G355" s="385" t="n">
        <f aca="false">G354-E355-L355-M355</f>
        <v>0</v>
      </c>
      <c r="H355" s="386" t="n">
        <f aca="false">IFERROR(I355+J355,0)</f>
        <v>0</v>
      </c>
      <c r="I355" s="384" t="n">
        <f aca="false">IFERROR(IF($D$3/$D$5&lt;K354,$D$3/$D$5,K354),0)</f>
        <v>0</v>
      </c>
      <c r="J355" s="384" t="n">
        <f aca="false">K354*$D$4/12/100</f>
        <v>0</v>
      </c>
      <c r="K355" s="387" t="n">
        <f aca="false">K354-I355-L355-M355</f>
        <v>0</v>
      </c>
      <c r="L355" s="388"/>
      <c r="M355" s="389"/>
      <c r="N355" s="409"/>
      <c r="O355" s="409"/>
      <c r="P355" s="391" t="n">
        <f aca="false">IF(ISBLANK(L354),VALUE(P354),ROW(L354))</f>
        <v>10</v>
      </c>
      <c r="Q355" s="314" t="n">
        <f aca="false">Q354+P354-P355</f>
        <v>12</v>
      </c>
      <c r="R355" s="314" t="n">
        <f aca="false">INDEX(G:G,P355,1)</f>
        <v>69000</v>
      </c>
      <c r="S355" s="312"/>
    </row>
    <row r="356" s="379" customFormat="true" ht="14.9" hidden="false" customHeight="false" outlineLevel="0" collapsed="false">
      <c r="A356" s="380" t="n">
        <v>346</v>
      </c>
      <c r="B356" s="381" t="str">
        <f aca="false">CONCATENATE(INT((A356-1)/12)+1,"-й год ",A356-1-INT((A356-1)/12)*12+1,"-й мес")</f>
        <v>29-й год 10-й мес</v>
      </c>
      <c r="C356" s="382" t="n">
        <f aca="false">DATE(YEAR(C355),MONTH(C355)+1,DAY(C355))</f>
        <v>54393</v>
      </c>
      <c r="D356" s="383" t="n">
        <f aca="false">IFERROR(IF(R356*$D$4/100/12/(1-(1+$D$4/100/12)^(-Q356))&lt;G355,ROUNDUP(R356*$D$4/100/12/(1-(1+$D$4/100/12)^(-Q356)),0),G355+F356),0)</f>
        <v>0</v>
      </c>
      <c r="E356" s="384" t="n">
        <f aca="false">D356-F356</f>
        <v>0</v>
      </c>
      <c r="F356" s="384" t="n">
        <f aca="false">G355*$D$4*(C356-C355)/(DATE(YEAR(C356)+1,1,1)-DATE(YEAR(C356),1,1))/100</f>
        <v>0</v>
      </c>
      <c r="G356" s="385" t="n">
        <f aca="false">G355-E356-L356-M356</f>
        <v>0</v>
      </c>
      <c r="H356" s="386" t="n">
        <f aca="false">IFERROR(I356+J356,0)</f>
        <v>0</v>
      </c>
      <c r="I356" s="384" t="n">
        <f aca="false">IFERROR(IF($D$3/$D$5&lt;K355,$D$3/$D$5,K355),0)</f>
        <v>0</v>
      </c>
      <c r="J356" s="384" t="n">
        <f aca="false">K355*$D$4/12/100</f>
        <v>0</v>
      </c>
      <c r="K356" s="387" t="n">
        <f aca="false">K355-I356-L356-M356</f>
        <v>0</v>
      </c>
      <c r="L356" s="388"/>
      <c r="M356" s="389"/>
      <c r="N356" s="409"/>
      <c r="O356" s="409"/>
      <c r="P356" s="391" t="n">
        <f aca="false">IF(ISBLANK(L355),VALUE(P355),ROW(L355))</f>
        <v>10</v>
      </c>
      <c r="Q356" s="314" t="n">
        <f aca="false">Q355+P355-P356</f>
        <v>12</v>
      </c>
      <c r="R356" s="314" t="n">
        <f aca="false">INDEX(G:G,P356,1)</f>
        <v>69000</v>
      </c>
      <c r="S356" s="312"/>
    </row>
    <row r="357" s="379" customFormat="true" ht="14.9" hidden="false" customHeight="false" outlineLevel="0" collapsed="false">
      <c r="A357" s="380" t="n">
        <v>347</v>
      </c>
      <c r="B357" s="381" t="str">
        <f aca="false">CONCATENATE(INT((A357-1)/12)+1,"-й год ",A357-1-INT((A357-1)/12)*12+1,"-й мес")</f>
        <v>29-й год 11-й мес</v>
      </c>
      <c r="C357" s="382" t="n">
        <f aca="false">DATE(YEAR(C356),MONTH(C356)+1,DAY(C356))</f>
        <v>54424</v>
      </c>
      <c r="D357" s="383" t="n">
        <f aca="false">IFERROR(IF(R357*$D$4/100/12/(1-(1+$D$4/100/12)^(-Q357))&lt;G356,ROUNDUP(R357*$D$4/100/12/(1-(1+$D$4/100/12)^(-Q357)),0),G356+F357),0)</f>
        <v>0</v>
      </c>
      <c r="E357" s="384" t="n">
        <f aca="false">D357-F357</f>
        <v>0</v>
      </c>
      <c r="F357" s="384" t="n">
        <f aca="false">G356*$D$4*(C357-C356)/(DATE(YEAR(C357)+1,1,1)-DATE(YEAR(C357),1,1))/100</f>
        <v>0</v>
      </c>
      <c r="G357" s="385" t="n">
        <f aca="false">G356-E357-L357-M357</f>
        <v>0</v>
      </c>
      <c r="H357" s="386" t="n">
        <f aca="false">IFERROR(I357+J357,0)</f>
        <v>0</v>
      </c>
      <c r="I357" s="384" t="n">
        <f aca="false">IFERROR(IF($D$3/$D$5&lt;K356,$D$3/$D$5,K356),0)</f>
        <v>0</v>
      </c>
      <c r="J357" s="384" t="n">
        <f aca="false">K356*$D$4/12/100</f>
        <v>0</v>
      </c>
      <c r="K357" s="387" t="n">
        <f aca="false">K356-I357-L357-M357</f>
        <v>0</v>
      </c>
      <c r="L357" s="388"/>
      <c r="M357" s="389"/>
      <c r="N357" s="409"/>
      <c r="O357" s="409"/>
      <c r="P357" s="391" t="n">
        <f aca="false">IF(ISBLANK(L356),VALUE(P356),ROW(L356))</f>
        <v>10</v>
      </c>
      <c r="Q357" s="314" t="n">
        <f aca="false">Q356+P356-P357</f>
        <v>12</v>
      </c>
      <c r="R357" s="314" t="n">
        <f aca="false">INDEX(G:G,P357,1)</f>
        <v>69000</v>
      </c>
      <c r="S357" s="312"/>
    </row>
    <row r="358" s="379" customFormat="true" ht="14.9" hidden="false" customHeight="false" outlineLevel="0" collapsed="false">
      <c r="A358" s="380" t="n">
        <v>348</v>
      </c>
      <c r="B358" s="392" t="str">
        <f aca="false">CONCATENATE(INT((A358-1)/12)+1,"-й год ",A358-1-INT((A358-1)/12)*12+1,"-й мес")</f>
        <v>29-й год 12-й мес</v>
      </c>
      <c r="C358" s="393" t="n">
        <f aca="false">DATE(YEAR(C357),MONTH(C357)+1,DAY(C357))</f>
        <v>54455</v>
      </c>
      <c r="D358" s="394" t="n">
        <f aca="false">IFERROR(IF(R358*$D$4/100/12/(1-(1+$D$4/100/12)^(-Q358))&lt;G357,ROUNDUP(R358*$D$4/100/12/(1-(1+$D$4/100/12)^(-Q358)),0),G357+F358),0)</f>
        <v>0</v>
      </c>
      <c r="E358" s="395" t="n">
        <f aca="false">D358-F358</f>
        <v>0</v>
      </c>
      <c r="F358" s="395" t="n">
        <f aca="false">G357*$D$4*(C358-C357)/(DATE(YEAR(C358)+1,1,1)-DATE(YEAR(C358),1,1))/100</f>
        <v>0</v>
      </c>
      <c r="G358" s="385" t="n">
        <f aca="false">G357-E358-L358-M358</f>
        <v>0</v>
      </c>
      <c r="H358" s="386" t="n">
        <f aca="false">IFERROR(I358+J358,0)</f>
        <v>0</v>
      </c>
      <c r="I358" s="384" t="n">
        <f aca="false">IFERROR(IF($D$3/$D$5&lt;K357,$D$3/$D$5,K357),0)</f>
        <v>0</v>
      </c>
      <c r="J358" s="384" t="n">
        <f aca="false">K357*$D$4/12/100</f>
        <v>0</v>
      </c>
      <c r="K358" s="387" t="n">
        <f aca="false">K357-I358-L358-M358</f>
        <v>0</v>
      </c>
      <c r="L358" s="388"/>
      <c r="M358" s="389"/>
      <c r="N358" s="409"/>
      <c r="O358" s="409"/>
      <c r="P358" s="391" t="n">
        <f aca="false">IF(ISBLANK(L357),VALUE(P357),ROW(L357))</f>
        <v>10</v>
      </c>
      <c r="Q358" s="314" t="n">
        <f aca="false">Q357+P357-P358</f>
        <v>12</v>
      </c>
      <c r="R358" s="314" t="n">
        <f aca="false">INDEX(G:G,P358,1)</f>
        <v>69000</v>
      </c>
      <c r="S358" s="312"/>
    </row>
    <row r="359" s="379" customFormat="true" ht="14.9" hidden="false" customHeight="false" outlineLevel="0" collapsed="false">
      <c r="A359" s="396" t="n">
        <v>349</v>
      </c>
      <c r="B359" s="381" t="str">
        <f aca="false">CONCATENATE(INT((A359-1)/12)+1,"-й год ",A359-1-INT((A359-1)/12)*12+1,"-й мес")</f>
        <v>30-й год 1-й мес</v>
      </c>
      <c r="C359" s="382" t="n">
        <f aca="false">DATE(YEAR(C358),MONTH(C358)+1,DAY(C358))</f>
        <v>54483</v>
      </c>
      <c r="D359" s="383" t="n">
        <f aca="false">IFERROR(IF(R359*$D$4/100/12/(1-(1+$D$4/100/12)^(-Q359))&lt;G358,ROUNDUP(R359*$D$4/100/12/(1-(1+$D$4/100/12)^(-Q359)),0),G358+F359),0)</f>
        <v>0</v>
      </c>
      <c r="E359" s="384" t="n">
        <f aca="false">D359-F359</f>
        <v>0</v>
      </c>
      <c r="F359" s="384" t="n">
        <f aca="false">G358*$D$4*(C359-C358)/(DATE(YEAR(C359)+1,1,1)-DATE(YEAR(C359),1,1))/100</f>
        <v>0</v>
      </c>
      <c r="G359" s="397" t="n">
        <f aca="false">G358-E359-L359-M359</f>
        <v>0</v>
      </c>
      <c r="H359" s="398" t="n">
        <f aca="false">IFERROR(I359+J359,0)</f>
        <v>0</v>
      </c>
      <c r="I359" s="399" t="n">
        <f aca="false">IFERROR(IF($D$3/$D$5&lt;K358,$D$3/$D$5,K358),0)</f>
        <v>0</v>
      </c>
      <c r="J359" s="399" t="n">
        <f aca="false">K358*$D$4/12/100</f>
        <v>0</v>
      </c>
      <c r="K359" s="400" t="n">
        <f aca="false">K358-I359-L359-M359</f>
        <v>0</v>
      </c>
      <c r="L359" s="401"/>
      <c r="M359" s="402"/>
      <c r="N359" s="409"/>
      <c r="O359" s="409"/>
      <c r="P359" s="391" t="n">
        <f aca="false">IF(ISBLANK(L358),VALUE(P358),ROW(L358))</f>
        <v>10</v>
      </c>
      <c r="Q359" s="314" t="n">
        <f aca="false">Q358+P358-P359</f>
        <v>12</v>
      </c>
      <c r="R359" s="314" t="n">
        <f aca="false">INDEX(G:G,P359,1)</f>
        <v>69000</v>
      </c>
      <c r="S359" s="312"/>
    </row>
    <row r="360" s="379" customFormat="true" ht="14.9" hidden="false" customHeight="false" outlineLevel="0" collapsed="false">
      <c r="A360" s="403" t="n">
        <v>350</v>
      </c>
      <c r="B360" s="381" t="str">
        <f aca="false">CONCATENATE(INT((A360-1)/12)+1,"-й год ",A360-1-INT((A360-1)/12)*12+1,"-й мес")</f>
        <v>30-й год 2-й мес</v>
      </c>
      <c r="C360" s="382" t="n">
        <f aca="false">DATE(YEAR(C359),MONTH(C359)+1,DAY(C359))</f>
        <v>54514</v>
      </c>
      <c r="D360" s="383" t="n">
        <f aca="false">IFERROR(IF(R360*$D$4/100/12/(1-(1+$D$4/100/12)^(-Q360))&lt;G359,ROUNDUP(R360*$D$4/100/12/(1-(1+$D$4/100/12)^(-Q360)),0),G359+F360),0)</f>
        <v>0</v>
      </c>
      <c r="E360" s="384" t="n">
        <f aca="false">D360-F360</f>
        <v>0</v>
      </c>
      <c r="F360" s="384" t="n">
        <f aca="false">G359*$D$4*(C360-C359)/(DATE(YEAR(C360)+1,1,1)-DATE(YEAR(C360),1,1))/100</f>
        <v>0</v>
      </c>
      <c r="G360" s="385" t="n">
        <f aca="false">G359-E360-L360-M360</f>
        <v>0</v>
      </c>
      <c r="H360" s="386" t="n">
        <f aca="false">IFERROR(I360+J360,0)</f>
        <v>0</v>
      </c>
      <c r="I360" s="384" t="n">
        <f aca="false">IFERROR(IF($D$3/$D$5&lt;K359,$D$3/$D$5,K359),0)</f>
        <v>0</v>
      </c>
      <c r="J360" s="384" t="n">
        <f aca="false">K359*$D$4/12/100</f>
        <v>0</v>
      </c>
      <c r="K360" s="387" t="n">
        <f aca="false">K359-I360-L360-M360</f>
        <v>0</v>
      </c>
      <c r="L360" s="388"/>
      <c r="M360" s="389"/>
      <c r="N360" s="409"/>
      <c r="O360" s="409"/>
      <c r="P360" s="391" t="n">
        <f aca="false">IF(ISBLANK(L359),VALUE(P359),ROW(L359))</f>
        <v>10</v>
      </c>
      <c r="Q360" s="314" t="n">
        <f aca="false">Q359+P359-P360</f>
        <v>12</v>
      </c>
      <c r="R360" s="314" t="n">
        <f aca="false">INDEX(G:G,P360,1)</f>
        <v>69000</v>
      </c>
      <c r="S360" s="312"/>
    </row>
    <row r="361" s="379" customFormat="true" ht="14.9" hidden="false" customHeight="false" outlineLevel="0" collapsed="false">
      <c r="A361" s="403" t="n">
        <v>351</v>
      </c>
      <c r="B361" s="381" t="str">
        <f aca="false">CONCATENATE(INT((A361-1)/12)+1,"-й год ",A361-1-INT((A361-1)/12)*12+1,"-й мес")</f>
        <v>30-й год 3-й мес</v>
      </c>
      <c r="C361" s="382" t="n">
        <f aca="false">DATE(YEAR(C360),MONTH(C360)+1,DAY(C360))</f>
        <v>54544</v>
      </c>
      <c r="D361" s="383" t="n">
        <f aca="false">IFERROR(IF(R361*$D$4/100/12/(1-(1+$D$4/100/12)^(-Q361))&lt;G360,ROUNDUP(R361*$D$4/100/12/(1-(1+$D$4/100/12)^(-Q361)),0),G360+F361),0)</f>
        <v>0</v>
      </c>
      <c r="E361" s="384" t="n">
        <f aca="false">D361-F361</f>
        <v>0</v>
      </c>
      <c r="F361" s="384" t="n">
        <f aca="false">G360*$D$4*(C361-C360)/(DATE(YEAR(C361)+1,1,1)-DATE(YEAR(C361),1,1))/100</f>
        <v>0</v>
      </c>
      <c r="G361" s="385" t="n">
        <f aca="false">G360-E361-L361-M361</f>
        <v>0</v>
      </c>
      <c r="H361" s="386" t="n">
        <f aca="false">IFERROR(I361+J361,0)</f>
        <v>0</v>
      </c>
      <c r="I361" s="384" t="n">
        <f aca="false">IFERROR(IF($D$3/$D$5&lt;K360,$D$3/$D$5,K360),0)</f>
        <v>0</v>
      </c>
      <c r="J361" s="384" t="n">
        <f aca="false">K360*$D$4/12/100</f>
        <v>0</v>
      </c>
      <c r="K361" s="387" t="n">
        <f aca="false">K360-I361-L361-M361</f>
        <v>0</v>
      </c>
      <c r="L361" s="388"/>
      <c r="M361" s="389"/>
      <c r="N361" s="409"/>
      <c r="O361" s="409"/>
      <c r="P361" s="391" t="n">
        <f aca="false">IF(ISBLANK(L360),VALUE(P360),ROW(L360))</f>
        <v>10</v>
      </c>
      <c r="Q361" s="314" t="n">
        <f aca="false">Q360+P360-P361</f>
        <v>12</v>
      </c>
      <c r="R361" s="314" t="n">
        <f aca="false">INDEX(G:G,P361,1)</f>
        <v>69000</v>
      </c>
      <c r="S361" s="312"/>
    </row>
    <row r="362" s="379" customFormat="true" ht="14.9" hidden="false" customHeight="false" outlineLevel="0" collapsed="false">
      <c r="A362" s="403" t="n">
        <v>352</v>
      </c>
      <c r="B362" s="381" t="str">
        <f aca="false">CONCATENATE(INT((A362-1)/12)+1,"-й год ",A362-1-INT((A362-1)/12)*12+1,"-й мес")</f>
        <v>30-й год 4-й мес</v>
      </c>
      <c r="C362" s="382" t="n">
        <f aca="false">DATE(YEAR(C361),MONTH(C361)+1,DAY(C361))</f>
        <v>54575</v>
      </c>
      <c r="D362" s="383" t="n">
        <f aca="false">IFERROR(IF(R362*$D$4/100/12/(1-(1+$D$4/100/12)^(-Q362))&lt;G361,ROUNDUP(R362*$D$4/100/12/(1-(1+$D$4/100/12)^(-Q362)),0),G361+F362),0)</f>
        <v>0</v>
      </c>
      <c r="E362" s="384" t="n">
        <f aca="false">D362-F362</f>
        <v>0</v>
      </c>
      <c r="F362" s="384" t="n">
        <f aca="false">G361*$D$4*(C362-C361)/(DATE(YEAR(C362)+1,1,1)-DATE(YEAR(C362),1,1))/100</f>
        <v>0</v>
      </c>
      <c r="G362" s="385" t="n">
        <f aca="false">G361-E362-L362-M362</f>
        <v>0</v>
      </c>
      <c r="H362" s="386" t="n">
        <f aca="false">IFERROR(I362+J362,0)</f>
        <v>0</v>
      </c>
      <c r="I362" s="384" t="n">
        <f aca="false">IFERROR(IF($D$3/$D$5&lt;K361,$D$3/$D$5,K361),0)</f>
        <v>0</v>
      </c>
      <c r="J362" s="384" t="n">
        <f aca="false">K361*$D$4/12/100</f>
        <v>0</v>
      </c>
      <c r="K362" s="387" t="n">
        <f aca="false">K361-I362-L362-M362</f>
        <v>0</v>
      </c>
      <c r="L362" s="388"/>
      <c r="M362" s="389"/>
      <c r="N362" s="409"/>
      <c r="O362" s="409"/>
      <c r="P362" s="391" t="n">
        <f aca="false">IF(ISBLANK(L361),VALUE(P361),ROW(L361))</f>
        <v>10</v>
      </c>
      <c r="Q362" s="314" t="n">
        <f aca="false">Q361+P361-P362</f>
        <v>12</v>
      </c>
      <c r="R362" s="314" t="n">
        <f aca="false">INDEX(G:G,P362,1)</f>
        <v>69000</v>
      </c>
      <c r="S362" s="312"/>
    </row>
    <row r="363" s="379" customFormat="true" ht="14.9" hidden="false" customHeight="false" outlineLevel="0" collapsed="false">
      <c r="A363" s="403" t="n">
        <v>353</v>
      </c>
      <c r="B363" s="381" t="str">
        <f aca="false">CONCATENATE(INT((A363-1)/12)+1,"-й год ",A363-1-INT((A363-1)/12)*12+1,"-й мес")</f>
        <v>30-й год 5-й мес</v>
      </c>
      <c r="C363" s="382" t="n">
        <f aca="false">DATE(YEAR(C362),MONTH(C362)+1,DAY(C362))</f>
        <v>54605</v>
      </c>
      <c r="D363" s="383" t="n">
        <f aca="false">IFERROR(IF(R363*$D$4/100/12/(1-(1+$D$4/100/12)^(-Q363))&lt;G362,ROUNDUP(R363*$D$4/100/12/(1-(1+$D$4/100/12)^(-Q363)),0),G362+F363),0)</f>
        <v>0</v>
      </c>
      <c r="E363" s="384" t="n">
        <f aca="false">D363-F363</f>
        <v>0</v>
      </c>
      <c r="F363" s="384" t="n">
        <f aca="false">G362*$D$4*(C363-C362)/(DATE(YEAR(C363)+1,1,1)-DATE(YEAR(C363),1,1))/100</f>
        <v>0</v>
      </c>
      <c r="G363" s="385" t="n">
        <f aca="false">G362-E363-L363-M363</f>
        <v>0</v>
      </c>
      <c r="H363" s="386" t="n">
        <f aca="false">IFERROR(I363+J363,0)</f>
        <v>0</v>
      </c>
      <c r="I363" s="384" t="n">
        <f aca="false">IFERROR(IF($D$3/$D$5&lt;K362,$D$3/$D$5,K362),0)</f>
        <v>0</v>
      </c>
      <c r="J363" s="384" t="n">
        <f aca="false">K362*$D$4/12/100</f>
        <v>0</v>
      </c>
      <c r="K363" s="387" t="n">
        <f aca="false">K362-I363-L363-M363</f>
        <v>0</v>
      </c>
      <c r="L363" s="388"/>
      <c r="M363" s="389"/>
      <c r="N363" s="409"/>
      <c r="O363" s="409"/>
      <c r="P363" s="391" t="n">
        <f aca="false">IF(ISBLANK(L362),VALUE(P362),ROW(L362))</f>
        <v>10</v>
      </c>
      <c r="Q363" s="314" t="n">
        <f aca="false">Q362+P362-P363</f>
        <v>12</v>
      </c>
      <c r="R363" s="314" t="n">
        <f aca="false">INDEX(G:G,P363,1)</f>
        <v>69000</v>
      </c>
      <c r="S363" s="312"/>
    </row>
    <row r="364" s="379" customFormat="true" ht="14.9" hidden="false" customHeight="false" outlineLevel="0" collapsed="false">
      <c r="A364" s="403" t="n">
        <v>354</v>
      </c>
      <c r="B364" s="381" t="str">
        <f aca="false">CONCATENATE(INT((A364-1)/12)+1,"-й год ",A364-1-INT((A364-1)/12)*12+1,"-й мес")</f>
        <v>30-й год 6-й мес</v>
      </c>
      <c r="C364" s="382" t="n">
        <f aca="false">DATE(YEAR(C363),MONTH(C363)+1,DAY(C363))</f>
        <v>54636</v>
      </c>
      <c r="D364" s="383" t="n">
        <f aca="false">IFERROR(IF(R364*$D$4/100/12/(1-(1+$D$4/100/12)^(-Q364))&lt;G363,ROUNDUP(R364*$D$4/100/12/(1-(1+$D$4/100/12)^(-Q364)),0),G363+F364),0)</f>
        <v>0</v>
      </c>
      <c r="E364" s="384" t="n">
        <f aca="false">D364-F364</f>
        <v>0</v>
      </c>
      <c r="F364" s="384" t="n">
        <f aca="false">G363*$D$4*(C364-C363)/(DATE(YEAR(C364)+1,1,1)-DATE(YEAR(C364),1,1))/100</f>
        <v>0</v>
      </c>
      <c r="G364" s="385" t="n">
        <f aca="false">G363-E364-L364-M364</f>
        <v>0</v>
      </c>
      <c r="H364" s="386" t="n">
        <f aca="false">IFERROR(I364+J364,0)</f>
        <v>0</v>
      </c>
      <c r="I364" s="384" t="n">
        <f aca="false">IFERROR(IF($D$3/$D$5&lt;K363,$D$3/$D$5,K363),0)</f>
        <v>0</v>
      </c>
      <c r="J364" s="384" t="n">
        <f aca="false">K363*$D$4/12/100</f>
        <v>0</v>
      </c>
      <c r="K364" s="387" t="n">
        <f aca="false">K363-I364-L364-M364</f>
        <v>0</v>
      </c>
      <c r="L364" s="388"/>
      <c r="M364" s="389"/>
      <c r="N364" s="409"/>
      <c r="O364" s="409"/>
      <c r="P364" s="391" t="n">
        <f aca="false">IF(ISBLANK(L363),VALUE(P363),ROW(L363))</f>
        <v>10</v>
      </c>
      <c r="Q364" s="314" t="n">
        <f aca="false">Q363+P363-P364</f>
        <v>12</v>
      </c>
      <c r="R364" s="314" t="n">
        <f aca="false">INDEX(G:G,P364,1)</f>
        <v>69000</v>
      </c>
      <c r="S364" s="312"/>
    </row>
    <row r="365" s="379" customFormat="true" ht="14.9" hidden="false" customHeight="false" outlineLevel="0" collapsed="false">
      <c r="A365" s="403" t="n">
        <v>355</v>
      </c>
      <c r="B365" s="381" t="str">
        <f aca="false">CONCATENATE(INT((A365-1)/12)+1,"-й год ",A365-1-INT((A365-1)/12)*12+1,"-й мес")</f>
        <v>30-й год 7-й мес</v>
      </c>
      <c r="C365" s="382" t="n">
        <f aca="false">DATE(YEAR(C364),MONTH(C364)+1,DAY(C364))</f>
        <v>54667</v>
      </c>
      <c r="D365" s="383" t="n">
        <f aca="false">IFERROR(IF(R365*$D$4/100/12/(1-(1+$D$4/100/12)^(-Q365))&lt;G364,ROUNDUP(R365*$D$4/100/12/(1-(1+$D$4/100/12)^(-Q365)),0),G364+F365),0)</f>
        <v>0</v>
      </c>
      <c r="E365" s="384" t="n">
        <f aca="false">D365-F365</f>
        <v>0</v>
      </c>
      <c r="F365" s="384" t="n">
        <f aca="false">G364*$D$4*(C365-C364)/(DATE(YEAR(C365)+1,1,1)-DATE(YEAR(C365),1,1))/100</f>
        <v>0</v>
      </c>
      <c r="G365" s="385" t="n">
        <f aca="false">G364-E365-L365-M365</f>
        <v>0</v>
      </c>
      <c r="H365" s="386" t="n">
        <f aca="false">IFERROR(I365+J365,0)</f>
        <v>0</v>
      </c>
      <c r="I365" s="384" t="n">
        <f aca="false">IFERROR(IF($D$3/$D$5&lt;K364,$D$3/$D$5,K364),0)</f>
        <v>0</v>
      </c>
      <c r="J365" s="384" t="n">
        <f aca="false">K364*$D$4/12/100</f>
        <v>0</v>
      </c>
      <c r="K365" s="387" t="n">
        <f aca="false">K364-I365-L365-M365</f>
        <v>0</v>
      </c>
      <c r="L365" s="388"/>
      <c r="M365" s="389"/>
      <c r="N365" s="409"/>
      <c r="O365" s="409"/>
      <c r="P365" s="391" t="n">
        <f aca="false">IF(ISBLANK(L364),VALUE(P364),ROW(L364))</f>
        <v>10</v>
      </c>
      <c r="Q365" s="314" t="n">
        <f aca="false">Q364+P364-P365</f>
        <v>12</v>
      </c>
      <c r="R365" s="314" t="n">
        <f aca="false">INDEX(G:G,P365,1)</f>
        <v>69000</v>
      </c>
      <c r="S365" s="312"/>
    </row>
    <row r="366" s="379" customFormat="true" ht="14.9" hidden="false" customHeight="false" outlineLevel="0" collapsed="false">
      <c r="A366" s="403" t="n">
        <v>356</v>
      </c>
      <c r="B366" s="381" t="str">
        <f aca="false">CONCATENATE(INT((A366-1)/12)+1,"-й год ",A366-1-INT((A366-1)/12)*12+1,"-й мес")</f>
        <v>30-й год 8-й мес</v>
      </c>
      <c r="C366" s="382" t="n">
        <f aca="false">DATE(YEAR(C365),MONTH(C365)+1,DAY(C365))</f>
        <v>54697</v>
      </c>
      <c r="D366" s="383" t="n">
        <f aca="false">IFERROR(IF(R366*$D$4/100/12/(1-(1+$D$4/100/12)^(-Q366))&lt;G365,ROUNDUP(R366*$D$4/100/12/(1-(1+$D$4/100/12)^(-Q366)),0),G365+F366),0)</f>
        <v>0</v>
      </c>
      <c r="E366" s="384" t="n">
        <f aca="false">D366-F366</f>
        <v>0</v>
      </c>
      <c r="F366" s="384" t="n">
        <f aca="false">G365*$D$4*(C366-C365)/(DATE(YEAR(C366)+1,1,1)-DATE(YEAR(C366),1,1))/100</f>
        <v>0</v>
      </c>
      <c r="G366" s="385" t="n">
        <f aca="false">G365-E366-L366-M366</f>
        <v>0</v>
      </c>
      <c r="H366" s="386" t="n">
        <f aca="false">IFERROR(I366+J366,0)</f>
        <v>0</v>
      </c>
      <c r="I366" s="384" t="n">
        <f aca="false">IFERROR(IF($D$3/$D$5&lt;K365,$D$3/$D$5,K365),0)</f>
        <v>0</v>
      </c>
      <c r="J366" s="384" t="n">
        <f aca="false">K365*$D$4/12/100</f>
        <v>0</v>
      </c>
      <c r="K366" s="387" t="n">
        <f aca="false">K365-I366-L366-M366</f>
        <v>0</v>
      </c>
      <c r="L366" s="388"/>
      <c r="M366" s="389"/>
      <c r="N366" s="409"/>
      <c r="O366" s="409"/>
      <c r="P366" s="391" t="n">
        <f aca="false">IF(ISBLANK(L365),VALUE(P365),ROW(L365))</f>
        <v>10</v>
      </c>
      <c r="Q366" s="314" t="n">
        <f aca="false">Q365+P365-P366</f>
        <v>12</v>
      </c>
      <c r="R366" s="314" t="n">
        <f aca="false">INDEX(G:G,P366,1)</f>
        <v>69000</v>
      </c>
      <c r="S366" s="312"/>
    </row>
    <row r="367" s="379" customFormat="true" ht="14.9" hidden="false" customHeight="false" outlineLevel="0" collapsed="false">
      <c r="A367" s="403" t="n">
        <v>357</v>
      </c>
      <c r="B367" s="381" t="str">
        <f aca="false">CONCATENATE(INT((A367-1)/12)+1,"-й год ",A367-1-INT((A367-1)/12)*12+1,"-й мес")</f>
        <v>30-й год 9-й мес</v>
      </c>
      <c r="C367" s="382" t="n">
        <f aca="false">DATE(YEAR(C366),MONTH(C366)+1,DAY(C366))</f>
        <v>54728</v>
      </c>
      <c r="D367" s="383" t="n">
        <f aca="false">IFERROR(IF(R367*$D$4/100/12/(1-(1+$D$4/100/12)^(-Q367))&lt;G366,ROUNDUP(R367*$D$4/100/12/(1-(1+$D$4/100/12)^(-Q367)),0),G366+F367),0)</f>
        <v>0</v>
      </c>
      <c r="E367" s="384" t="n">
        <f aca="false">D367-F367</f>
        <v>0</v>
      </c>
      <c r="F367" s="384" t="n">
        <f aca="false">G366*$D$4*(C367-C366)/(DATE(YEAR(C367)+1,1,1)-DATE(YEAR(C367),1,1))/100</f>
        <v>0</v>
      </c>
      <c r="G367" s="385" t="n">
        <f aca="false">G366-E367-L367-M367</f>
        <v>0</v>
      </c>
      <c r="H367" s="386" t="n">
        <f aca="false">IFERROR(I367+J367,0)</f>
        <v>0</v>
      </c>
      <c r="I367" s="384" t="n">
        <f aca="false">IFERROR(IF($D$3/$D$5&lt;K366,$D$3/$D$5,K366),0)</f>
        <v>0</v>
      </c>
      <c r="J367" s="384" t="n">
        <f aca="false">K366*$D$4/12/100</f>
        <v>0</v>
      </c>
      <c r="K367" s="387" t="n">
        <f aca="false">K366-I367-L367-M367</f>
        <v>0</v>
      </c>
      <c r="L367" s="388"/>
      <c r="M367" s="389"/>
      <c r="N367" s="409"/>
      <c r="O367" s="409"/>
      <c r="P367" s="391" t="n">
        <f aca="false">IF(ISBLANK(L366),VALUE(P366),ROW(L366))</f>
        <v>10</v>
      </c>
      <c r="Q367" s="314" t="n">
        <f aca="false">Q366+P366-P367</f>
        <v>12</v>
      </c>
      <c r="R367" s="314" t="n">
        <f aca="false">INDEX(G:G,P367,1)</f>
        <v>69000</v>
      </c>
      <c r="S367" s="312"/>
    </row>
    <row r="368" s="379" customFormat="true" ht="14.9" hidden="false" customHeight="false" outlineLevel="0" collapsed="false">
      <c r="A368" s="403" t="n">
        <v>358</v>
      </c>
      <c r="B368" s="381" t="str">
        <f aca="false">CONCATENATE(INT((A368-1)/12)+1,"-й год ",A368-1-INT((A368-1)/12)*12+1,"-й мес")</f>
        <v>30-й год 10-й мес</v>
      </c>
      <c r="C368" s="382" t="n">
        <f aca="false">DATE(YEAR(C367),MONTH(C367)+1,DAY(C367))</f>
        <v>54758</v>
      </c>
      <c r="D368" s="383" t="n">
        <f aca="false">IFERROR(IF(R368*$D$4/100/12/(1-(1+$D$4/100/12)^(-Q368))&lt;G367,ROUNDUP(R368*$D$4/100/12/(1-(1+$D$4/100/12)^(-Q368)),0),G367+F368),0)</f>
        <v>0</v>
      </c>
      <c r="E368" s="384" t="n">
        <f aca="false">D368-F368</f>
        <v>0</v>
      </c>
      <c r="F368" s="384" t="n">
        <f aca="false">G367*$D$4*(C368-C367)/(DATE(YEAR(C368)+1,1,1)-DATE(YEAR(C368),1,1))/100</f>
        <v>0</v>
      </c>
      <c r="G368" s="385" t="n">
        <f aca="false">G367-E368-L368-M368</f>
        <v>0</v>
      </c>
      <c r="H368" s="386" t="n">
        <f aca="false">IFERROR(I368+J368,0)</f>
        <v>0</v>
      </c>
      <c r="I368" s="384" t="n">
        <f aca="false">IFERROR(IF($D$3/$D$5&lt;K367,$D$3/$D$5,K367),0)</f>
        <v>0</v>
      </c>
      <c r="J368" s="384" t="n">
        <f aca="false">K367*$D$4/12/100</f>
        <v>0</v>
      </c>
      <c r="K368" s="387" t="n">
        <f aca="false">K367-I368-L368-M368</f>
        <v>0</v>
      </c>
      <c r="L368" s="388"/>
      <c r="M368" s="389"/>
      <c r="N368" s="409"/>
      <c r="O368" s="409"/>
      <c r="P368" s="391" t="n">
        <f aca="false">IF(ISBLANK(L367),VALUE(P367),ROW(L367))</f>
        <v>10</v>
      </c>
      <c r="Q368" s="314" t="n">
        <f aca="false">Q367+P367-P368</f>
        <v>12</v>
      </c>
      <c r="R368" s="314" t="n">
        <f aca="false">INDEX(G:G,P368,1)</f>
        <v>69000</v>
      </c>
      <c r="S368" s="312"/>
    </row>
    <row r="369" s="379" customFormat="true" ht="14.9" hidden="false" customHeight="false" outlineLevel="0" collapsed="false">
      <c r="A369" s="403" t="n">
        <v>359</v>
      </c>
      <c r="B369" s="411" t="str">
        <f aca="false">CONCATENATE(INT((A369-1)/12)+1,"-й год ",A369-1-INT((A369-1)/12)*12+1,"-й мес")</f>
        <v>30-й год 11-й мес</v>
      </c>
      <c r="C369" s="382" t="n">
        <f aca="false">DATE(YEAR(C368),MONTH(C368)+1,DAY(C368))</f>
        <v>54789</v>
      </c>
      <c r="D369" s="383" t="n">
        <f aca="false">IFERROR(IF(R369*$D$4/100/12/(1-(1+$D$4/100/12)^(-Q369))&lt;G368,ROUNDUP(R369*$D$4/100/12/(1-(1+$D$4/100/12)^(-Q369)),0),G368+F369),0)</f>
        <v>0</v>
      </c>
      <c r="E369" s="384" t="n">
        <f aca="false">D369-F369</f>
        <v>0</v>
      </c>
      <c r="F369" s="384" t="n">
        <f aca="false">G368*$D$4*(C369-C368)/(DATE(YEAR(C369)+1,1,1)-DATE(YEAR(C369),1,1))/100</f>
        <v>0</v>
      </c>
      <c r="G369" s="385" t="n">
        <f aca="false">G368-E369-L369-M369</f>
        <v>0</v>
      </c>
      <c r="H369" s="386" t="n">
        <f aca="false">IFERROR(I369+J369,0)</f>
        <v>0</v>
      </c>
      <c r="I369" s="384" t="n">
        <f aca="false">IFERROR(IF($D$3/$D$5&lt;K368,$D$3/$D$5,K368),0)</f>
        <v>0</v>
      </c>
      <c r="J369" s="384" t="n">
        <f aca="false">K368*$D$4/12/100</f>
        <v>0</v>
      </c>
      <c r="K369" s="387" t="n">
        <f aca="false">K368-I369-L369-M369</f>
        <v>0</v>
      </c>
      <c r="L369" s="388"/>
      <c r="M369" s="389"/>
      <c r="N369" s="409"/>
      <c r="O369" s="409"/>
      <c r="P369" s="391" t="n">
        <f aca="false">IF(ISBLANK(L368),VALUE(P368),ROW(L368))</f>
        <v>10</v>
      </c>
      <c r="Q369" s="314" t="n">
        <f aca="false">Q368+P368-P369</f>
        <v>12</v>
      </c>
      <c r="R369" s="314" t="n">
        <f aca="false">INDEX(G:G,P369,1)</f>
        <v>69000</v>
      </c>
      <c r="S369" s="312"/>
    </row>
    <row r="370" s="379" customFormat="true" ht="14.9" hidden="false" customHeight="false" outlineLevel="0" collapsed="false">
      <c r="A370" s="404" t="n">
        <v>360</v>
      </c>
      <c r="B370" s="392" t="str">
        <f aca="false">CONCATENATE(INT((A370-1)/12)+1,"-й год ",A370-1-INT((A370-1)/12)*12+1,"-й мес")</f>
        <v>30-й год 12-й мес</v>
      </c>
      <c r="C370" s="393" t="n">
        <f aca="false">DATE(YEAR(C369),MONTH(C369)+1,DAY(C369))</f>
        <v>54820</v>
      </c>
      <c r="D370" s="394" t="n">
        <f aca="false">IFERROR(IF(R370*$D$4/100/12/(1-(1+$D$4/100/12)^(-Q370))&lt;G369,ROUNDUP(R370*$D$4/100/12/(1-(1+$D$4/100/12)^(-Q370)),0),G369+F370),0)</f>
        <v>0</v>
      </c>
      <c r="E370" s="395" t="n">
        <f aca="false">D370-F370</f>
        <v>0</v>
      </c>
      <c r="F370" s="395" t="n">
        <f aca="false">G369*$D$4*(C370-C369)/(DATE(YEAR(C370)+1,1,1)-DATE(YEAR(C370),1,1))/100</f>
        <v>0</v>
      </c>
      <c r="G370" s="405" t="n">
        <f aca="false">G369-E370-L370-M370</f>
        <v>0</v>
      </c>
      <c r="H370" s="406" t="n">
        <f aca="false">IFERROR(I370+J370,0)</f>
        <v>0</v>
      </c>
      <c r="I370" s="395" t="n">
        <f aca="false">IFERROR(IF($D$3/$D$5&lt;K369,$D$3/$D$5,K369),0)</f>
        <v>0</v>
      </c>
      <c r="J370" s="395" t="n">
        <f aca="false">K369*$D$4/12/100</f>
        <v>0</v>
      </c>
      <c r="K370" s="407" t="n">
        <f aca="false">K369-I370-L370-M370</f>
        <v>0</v>
      </c>
      <c r="L370" s="408"/>
      <c r="M370" s="410"/>
      <c r="N370" s="409"/>
      <c r="O370" s="409"/>
      <c r="P370" s="391" t="n">
        <f aca="false">IF(ISBLANK(L369),VALUE(P369),ROW(L369))</f>
        <v>10</v>
      </c>
      <c r="Q370" s="314" t="n">
        <f aca="false">Q369+P369-P370</f>
        <v>12</v>
      </c>
      <c r="R370" s="314" t="n">
        <f aca="false">INDEX(G:G,P370,1)</f>
        <v>69000</v>
      </c>
      <c r="S370" s="312"/>
    </row>
    <row r="371" s="379" customFormat="true" ht="14.9" hidden="false" customHeight="false" outlineLevel="0" collapsed="false">
      <c r="A371" s="380" t="n">
        <v>361</v>
      </c>
      <c r="B371" s="381" t="str">
        <f aca="false">CONCATENATE(INT((A371-1)/12)+1,"-й год ",A371-1-INT((A371-1)/12)*12+1,"-й мес")</f>
        <v>31-й год 1-й мес</v>
      </c>
      <c r="C371" s="382" t="n">
        <f aca="false">DATE(YEAR(C370),MONTH(C370)+1,DAY(C370))</f>
        <v>54848</v>
      </c>
      <c r="D371" s="383" t="n">
        <f aca="false">IFERROR(IF(R371*$D$4/100/12/(1-(1+$D$4/100/12)^(-Q371))&lt;G370,ROUNDUP(R371*$D$4/100/12/(1-(1+$D$4/100/12)^(-Q371)),0),G370+F371),0)</f>
        <v>0</v>
      </c>
      <c r="E371" s="384" t="n">
        <f aca="false">D371-F371</f>
        <v>0</v>
      </c>
      <c r="F371" s="384" t="n">
        <f aca="false">G370*$D$4*(C371-C370)/(DATE(YEAR(C371)+1,1,1)-DATE(YEAR(C371),1,1))/100</f>
        <v>0</v>
      </c>
      <c r="G371" s="385" t="n">
        <f aca="false">G370-E371-L371-M371</f>
        <v>0</v>
      </c>
      <c r="H371" s="386" t="n">
        <f aca="false">IFERROR(I371+J371,0)</f>
        <v>0</v>
      </c>
      <c r="I371" s="384" t="n">
        <f aca="false">IFERROR(IF($D$3/$D$5&lt;K370,$D$3/$D$5,K370),0)</f>
        <v>0</v>
      </c>
      <c r="J371" s="384" t="n">
        <f aca="false">K370*$D$4/12/100</f>
        <v>0</v>
      </c>
      <c r="K371" s="387" t="n">
        <f aca="false">K370-I371-L371-M371</f>
        <v>0</v>
      </c>
      <c r="L371" s="388"/>
      <c r="M371" s="389"/>
      <c r="N371" s="409"/>
      <c r="O371" s="409"/>
      <c r="P371" s="391" t="n">
        <f aca="false">IF(ISBLANK(L370),VALUE(P370),ROW(L370))</f>
        <v>10</v>
      </c>
      <c r="Q371" s="314" t="n">
        <f aca="false">Q370+P370-P371</f>
        <v>12</v>
      </c>
      <c r="R371" s="314" t="n">
        <f aca="false">INDEX(G:G,P371,1)</f>
        <v>69000</v>
      </c>
      <c r="S371" s="312"/>
    </row>
    <row r="372" s="379" customFormat="true" ht="14.9" hidden="false" customHeight="false" outlineLevel="0" collapsed="false">
      <c r="A372" s="380" t="n">
        <v>362</v>
      </c>
      <c r="B372" s="381" t="str">
        <f aca="false">CONCATENATE(INT((A372-1)/12)+1,"-й год ",A372-1-INT((A372-1)/12)*12+1,"-й мес")</f>
        <v>31-й год 2-й мес</v>
      </c>
      <c r="C372" s="382" t="n">
        <f aca="false">DATE(YEAR(C371),MONTH(C371)+1,DAY(C371))</f>
        <v>54879</v>
      </c>
      <c r="D372" s="383" t="n">
        <f aca="false">IFERROR(IF(R372*$D$4/100/12/(1-(1+$D$4/100/12)^(-Q372))&lt;G371,ROUNDUP(R372*$D$4/100/12/(1-(1+$D$4/100/12)^(-Q372)),0),G371+F372),0)</f>
        <v>0</v>
      </c>
      <c r="E372" s="384" t="n">
        <f aca="false">D372-F372</f>
        <v>0</v>
      </c>
      <c r="F372" s="384" t="n">
        <f aca="false">G371*$D$4*(C372-C371)/(DATE(YEAR(C372)+1,1,1)-DATE(YEAR(C372),1,1))/100</f>
        <v>0</v>
      </c>
      <c r="G372" s="385" t="n">
        <f aca="false">G371-E372-L372-M372</f>
        <v>0</v>
      </c>
      <c r="H372" s="386" t="n">
        <f aca="false">IFERROR(I372+J372,0)</f>
        <v>0</v>
      </c>
      <c r="I372" s="384" t="n">
        <f aca="false">IFERROR(IF($D$3/$D$5&lt;K371,$D$3/$D$5,K371),0)</f>
        <v>0</v>
      </c>
      <c r="J372" s="384" t="n">
        <f aca="false">K371*$D$4/12/100</f>
        <v>0</v>
      </c>
      <c r="K372" s="387" t="n">
        <f aca="false">K371-I372-L372-M372</f>
        <v>0</v>
      </c>
      <c r="L372" s="388"/>
      <c r="M372" s="389"/>
      <c r="N372" s="409"/>
      <c r="O372" s="409"/>
      <c r="P372" s="391" t="n">
        <f aca="false">IF(ISBLANK(L371),VALUE(P371),ROW(L371))</f>
        <v>10</v>
      </c>
      <c r="Q372" s="314" t="n">
        <f aca="false">Q371+P371-P372</f>
        <v>12</v>
      </c>
      <c r="R372" s="314" t="n">
        <f aca="false">INDEX(G:G,P372,1)</f>
        <v>69000</v>
      </c>
      <c r="S372" s="312"/>
    </row>
    <row r="373" s="379" customFormat="true" ht="14.9" hidden="false" customHeight="false" outlineLevel="0" collapsed="false">
      <c r="A373" s="380" t="n">
        <v>363</v>
      </c>
      <c r="B373" s="381" t="str">
        <f aca="false">CONCATENATE(INT((A373-1)/12)+1,"-й год ",A373-1-INT((A373-1)/12)*12+1,"-й мес")</f>
        <v>31-й год 3-й мес</v>
      </c>
      <c r="C373" s="382" t="n">
        <f aca="false">DATE(YEAR(C372),MONTH(C372)+1,DAY(C372))</f>
        <v>54909</v>
      </c>
      <c r="D373" s="383" t="n">
        <f aca="false">IFERROR(IF(R373*$D$4/100/12/(1-(1+$D$4/100/12)^(-Q373))&lt;G372,ROUNDUP(R373*$D$4/100/12/(1-(1+$D$4/100/12)^(-Q373)),0),G372+F373),0)</f>
        <v>0</v>
      </c>
      <c r="E373" s="384" t="n">
        <f aca="false">D373-F373</f>
        <v>0</v>
      </c>
      <c r="F373" s="384" t="n">
        <f aca="false">G372*$D$4*(C373-C372)/(DATE(YEAR(C373)+1,1,1)-DATE(YEAR(C373),1,1))/100</f>
        <v>0</v>
      </c>
      <c r="G373" s="385" t="n">
        <f aca="false">G372-E373-L373-M373</f>
        <v>0</v>
      </c>
      <c r="H373" s="386" t="n">
        <f aca="false">IFERROR(I373+J373,0)</f>
        <v>0</v>
      </c>
      <c r="I373" s="384" t="n">
        <f aca="false">IFERROR(IF($D$3/$D$5&lt;K372,$D$3/$D$5,K372),0)</f>
        <v>0</v>
      </c>
      <c r="J373" s="384" t="n">
        <f aca="false">K372*$D$4/12/100</f>
        <v>0</v>
      </c>
      <c r="K373" s="387" t="n">
        <f aca="false">K372-I373-L373-M373</f>
        <v>0</v>
      </c>
      <c r="L373" s="388"/>
      <c r="M373" s="389"/>
      <c r="N373" s="409"/>
      <c r="O373" s="409"/>
      <c r="P373" s="391" t="n">
        <f aca="false">IF(ISBLANK(L372),VALUE(P372),ROW(L372))</f>
        <v>10</v>
      </c>
      <c r="Q373" s="314" t="n">
        <f aca="false">Q372+P372-P373</f>
        <v>12</v>
      </c>
      <c r="R373" s="314" t="n">
        <f aca="false">INDEX(G:G,P373,1)</f>
        <v>69000</v>
      </c>
      <c r="S373" s="312"/>
    </row>
    <row r="374" s="379" customFormat="true" ht="14.9" hidden="false" customHeight="false" outlineLevel="0" collapsed="false">
      <c r="A374" s="380" t="n">
        <v>364</v>
      </c>
      <c r="B374" s="381" t="str">
        <f aca="false">CONCATENATE(INT((A374-1)/12)+1,"-й год ",A374-1-INT((A374-1)/12)*12+1,"-й мес")</f>
        <v>31-й год 4-й мес</v>
      </c>
      <c r="C374" s="382" t="n">
        <f aca="false">DATE(YEAR(C373),MONTH(C373)+1,DAY(C373))</f>
        <v>54940</v>
      </c>
      <c r="D374" s="383" t="n">
        <f aca="false">IFERROR(IF(R374*$D$4/100/12/(1-(1+$D$4/100/12)^(-Q374))&lt;G373,ROUNDUP(R374*$D$4/100/12/(1-(1+$D$4/100/12)^(-Q374)),0),G373+F374),0)</f>
        <v>0</v>
      </c>
      <c r="E374" s="384" t="n">
        <f aca="false">D374-F374</f>
        <v>0</v>
      </c>
      <c r="F374" s="384" t="n">
        <f aca="false">G373*$D$4*(C374-C373)/(DATE(YEAR(C374)+1,1,1)-DATE(YEAR(C374),1,1))/100</f>
        <v>0</v>
      </c>
      <c r="G374" s="385" t="n">
        <f aca="false">G373-E374-L374-M374</f>
        <v>0</v>
      </c>
      <c r="H374" s="386" t="n">
        <f aca="false">IFERROR(I374+J374,0)</f>
        <v>0</v>
      </c>
      <c r="I374" s="384" t="n">
        <f aca="false">IFERROR(IF($D$3/$D$5&lt;K373,$D$3/$D$5,K373),0)</f>
        <v>0</v>
      </c>
      <c r="J374" s="384" t="n">
        <f aca="false">K373*$D$4/12/100</f>
        <v>0</v>
      </c>
      <c r="K374" s="387" t="n">
        <f aca="false">K373-I374-L374-M374</f>
        <v>0</v>
      </c>
      <c r="L374" s="388"/>
      <c r="M374" s="389"/>
      <c r="N374" s="409"/>
      <c r="O374" s="409"/>
      <c r="P374" s="391" t="n">
        <f aca="false">IF(ISBLANK(L373),VALUE(P373),ROW(L373))</f>
        <v>10</v>
      </c>
      <c r="Q374" s="314" t="n">
        <f aca="false">Q373+P373-P374</f>
        <v>12</v>
      </c>
      <c r="R374" s="314" t="n">
        <f aca="false">INDEX(G:G,P374,1)</f>
        <v>69000</v>
      </c>
      <c r="S374" s="312"/>
    </row>
    <row r="375" s="379" customFormat="true" ht="14.9" hidden="false" customHeight="false" outlineLevel="0" collapsed="false">
      <c r="A375" s="380" t="n">
        <v>365</v>
      </c>
      <c r="B375" s="381" t="str">
        <f aca="false">CONCATENATE(INT((A375-1)/12)+1,"-й год ",A375-1-INT((A375-1)/12)*12+1,"-й мес")</f>
        <v>31-й год 5-й мес</v>
      </c>
      <c r="C375" s="382" t="n">
        <f aca="false">DATE(YEAR(C374),MONTH(C374)+1,DAY(C374))</f>
        <v>54970</v>
      </c>
      <c r="D375" s="383" t="n">
        <f aca="false">IFERROR(IF(R375*$D$4/100/12/(1-(1+$D$4/100/12)^(-Q375))&lt;G374,ROUNDUP(R375*$D$4/100/12/(1-(1+$D$4/100/12)^(-Q375)),0),G374+F375),0)</f>
        <v>0</v>
      </c>
      <c r="E375" s="384" t="n">
        <f aca="false">D375-F375</f>
        <v>0</v>
      </c>
      <c r="F375" s="384" t="n">
        <f aca="false">G374*$D$4*(C375-C374)/(DATE(YEAR(C375)+1,1,1)-DATE(YEAR(C375),1,1))/100</f>
        <v>0</v>
      </c>
      <c r="G375" s="385" t="n">
        <f aca="false">G374-E375-L375-M375</f>
        <v>0</v>
      </c>
      <c r="H375" s="386" t="n">
        <f aca="false">IFERROR(I375+J375,0)</f>
        <v>0</v>
      </c>
      <c r="I375" s="384" t="n">
        <f aca="false">IFERROR(IF($D$3/$D$5&lt;K374,$D$3/$D$5,K374),0)</f>
        <v>0</v>
      </c>
      <c r="J375" s="384" t="n">
        <f aca="false">K374*$D$4/12/100</f>
        <v>0</v>
      </c>
      <c r="K375" s="387" t="n">
        <f aca="false">K374-I375-L375-M375</f>
        <v>0</v>
      </c>
      <c r="L375" s="388"/>
      <c r="M375" s="389"/>
      <c r="N375" s="409"/>
      <c r="O375" s="409"/>
      <c r="P375" s="391" t="n">
        <f aca="false">IF(ISBLANK(L374),VALUE(P374),ROW(L374))</f>
        <v>10</v>
      </c>
      <c r="Q375" s="314" t="n">
        <f aca="false">Q374+P374-P375</f>
        <v>12</v>
      </c>
      <c r="R375" s="314" t="n">
        <f aca="false">INDEX(G:G,P375,1)</f>
        <v>69000</v>
      </c>
      <c r="S375" s="312"/>
    </row>
    <row r="376" s="379" customFormat="true" ht="14.9" hidden="false" customHeight="false" outlineLevel="0" collapsed="false">
      <c r="A376" s="380" t="n">
        <v>366</v>
      </c>
      <c r="B376" s="381" t="str">
        <f aca="false">CONCATENATE(INT((A376-1)/12)+1,"-й год ",A376-1-INT((A376-1)/12)*12+1,"-й мес")</f>
        <v>31-й год 6-й мес</v>
      </c>
      <c r="C376" s="382" t="n">
        <f aca="false">DATE(YEAR(C375),MONTH(C375)+1,DAY(C375))</f>
        <v>55001</v>
      </c>
      <c r="D376" s="383" t="n">
        <f aca="false">IFERROR(IF(R376*$D$4/100/12/(1-(1+$D$4/100/12)^(-Q376))&lt;G375,ROUNDUP(R376*$D$4/100/12/(1-(1+$D$4/100/12)^(-Q376)),0),G375+F376),0)</f>
        <v>0</v>
      </c>
      <c r="E376" s="384" t="n">
        <f aca="false">D376-F376</f>
        <v>0</v>
      </c>
      <c r="F376" s="384" t="n">
        <f aca="false">G375*$D$4*(C376-C375)/(DATE(YEAR(C376)+1,1,1)-DATE(YEAR(C376),1,1))/100</f>
        <v>0</v>
      </c>
      <c r="G376" s="385" t="n">
        <f aca="false">G375-E376-L376-M376</f>
        <v>0</v>
      </c>
      <c r="H376" s="386" t="n">
        <f aca="false">IFERROR(I376+J376,0)</f>
        <v>0</v>
      </c>
      <c r="I376" s="384" t="n">
        <f aca="false">IFERROR(IF($D$3/$D$5&lt;K375,$D$3/$D$5,K375),0)</f>
        <v>0</v>
      </c>
      <c r="J376" s="384" t="n">
        <f aca="false">K375*$D$4/12/100</f>
        <v>0</v>
      </c>
      <c r="K376" s="387" t="n">
        <f aca="false">K375-I376-L376-M376</f>
        <v>0</v>
      </c>
      <c r="L376" s="388"/>
      <c r="M376" s="389"/>
      <c r="N376" s="409"/>
      <c r="O376" s="409"/>
      <c r="P376" s="391" t="n">
        <f aca="false">IF(ISBLANK(L375),VALUE(P375),ROW(L375))</f>
        <v>10</v>
      </c>
      <c r="Q376" s="314" t="n">
        <f aca="false">Q375+P375-P376</f>
        <v>12</v>
      </c>
      <c r="R376" s="314" t="n">
        <f aca="false">INDEX(G:G,P376,1)</f>
        <v>69000</v>
      </c>
      <c r="S376" s="312"/>
    </row>
    <row r="377" s="379" customFormat="true" ht="14.9" hidden="false" customHeight="false" outlineLevel="0" collapsed="false">
      <c r="A377" s="380" t="n">
        <v>367</v>
      </c>
      <c r="B377" s="381" t="str">
        <f aca="false">CONCATENATE(INT((A377-1)/12)+1,"-й год ",A377-1-INT((A377-1)/12)*12+1,"-й мес")</f>
        <v>31-й год 7-й мес</v>
      </c>
      <c r="C377" s="382" t="n">
        <f aca="false">DATE(YEAR(C376),MONTH(C376)+1,DAY(C376))</f>
        <v>55032</v>
      </c>
      <c r="D377" s="383" t="n">
        <f aca="false">IFERROR(IF(R377*$D$4/100/12/(1-(1+$D$4/100/12)^(-Q377))&lt;G376,ROUNDUP(R377*$D$4/100/12/(1-(1+$D$4/100/12)^(-Q377)),0),G376+F377),0)</f>
        <v>0</v>
      </c>
      <c r="E377" s="384" t="n">
        <f aca="false">D377-F377</f>
        <v>0</v>
      </c>
      <c r="F377" s="384" t="n">
        <f aca="false">G376*$D$4*(C377-C376)/(DATE(YEAR(C377)+1,1,1)-DATE(YEAR(C377),1,1))/100</f>
        <v>0</v>
      </c>
      <c r="G377" s="385" t="n">
        <f aca="false">G376-E377-L377-M377</f>
        <v>0</v>
      </c>
      <c r="H377" s="386" t="n">
        <f aca="false">IFERROR(I377+J377,0)</f>
        <v>0</v>
      </c>
      <c r="I377" s="384" t="n">
        <f aca="false">IFERROR(IF($D$3/$D$5&lt;K376,$D$3/$D$5,K376),0)</f>
        <v>0</v>
      </c>
      <c r="J377" s="384" t="n">
        <f aca="false">K376*$D$4/12/100</f>
        <v>0</v>
      </c>
      <c r="K377" s="387" t="n">
        <f aca="false">K376-I377-L377-M377</f>
        <v>0</v>
      </c>
      <c r="L377" s="388"/>
      <c r="M377" s="389"/>
      <c r="N377" s="409"/>
      <c r="O377" s="409"/>
      <c r="P377" s="391" t="n">
        <f aca="false">IF(ISBLANK(L376),VALUE(P376),ROW(L376))</f>
        <v>10</v>
      </c>
      <c r="Q377" s="314" t="n">
        <f aca="false">Q376+P376-P377</f>
        <v>12</v>
      </c>
      <c r="R377" s="314" t="n">
        <f aca="false">INDEX(G:G,P377,1)</f>
        <v>69000</v>
      </c>
      <c r="S377" s="312"/>
    </row>
    <row r="378" s="379" customFormat="true" ht="14.9" hidden="false" customHeight="false" outlineLevel="0" collapsed="false">
      <c r="A378" s="380" t="n">
        <v>368</v>
      </c>
      <c r="B378" s="381" t="str">
        <f aca="false">CONCATENATE(INT((A378-1)/12)+1,"-й год ",A378-1-INT((A378-1)/12)*12+1,"-й мес")</f>
        <v>31-й год 8-й мес</v>
      </c>
      <c r="C378" s="382" t="n">
        <f aca="false">DATE(YEAR(C377),MONTH(C377)+1,DAY(C377))</f>
        <v>55062</v>
      </c>
      <c r="D378" s="383" t="n">
        <f aca="false">IFERROR(IF(R378*$D$4/100/12/(1-(1+$D$4/100/12)^(-Q378))&lt;G377,ROUNDUP(R378*$D$4/100/12/(1-(1+$D$4/100/12)^(-Q378)),0),G377+F378),0)</f>
        <v>0</v>
      </c>
      <c r="E378" s="384" t="n">
        <f aca="false">D378-F378</f>
        <v>0</v>
      </c>
      <c r="F378" s="384" t="n">
        <f aca="false">G377*$D$4*(C378-C377)/(DATE(YEAR(C378)+1,1,1)-DATE(YEAR(C378),1,1))/100</f>
        <v>0</v>
      </c>
      <c r="G378" s="385" t="n">
        <f aca="false">G377-E378-L378-M378</f>
        <v>0</v>
      </c>
      <c r="H378" s="386" t="n">
        <f aca="false">IFERROR(I378+J378,0)</f>
        <v>0</v>
      </c>
      <c r="I378" s="384" t="n">
        <f aca="false">IFERROR(IF($D$3/$D$5&lt;K377,$D$3/$D$5,K377),0)</f>
        <v>0</v>
      </c>
      <c r="J378" s="384" t="n">
        <f aca="false">K377*$D$4/12/100</f>
        <v>0</v>
      </c>
      <c r="K378" s="387" t="n">
        <f aca="false">K377-I378-L378-M378</f>
        <v>0</v>
      </c>
      <c r="L378" s="388"/>
      <c r="M378" s="389"/>
      <c r="N378" s="409"/>
      <c r="O378" s="409"/>
      <c r="P378" s="391" t="n">
        <f aca="false">IF(ISBLANK(L377),VALUE(P377),ROW(L377))</f>
        <v>10</v>
      </c>
      <c r="Q378" s="314" t="n">
        <f aca="false">Q377+P377-P378</f>
        <v>12</v>
      </c>
      <c r="R378" s="314" t="n">
        <f aca="false">INDEX(G:G,P378,1)</f>
        <v>69000</v>
      </c>
      <c r="S378" s="312"/>
    </row>
    <row r="379" s="379" customFormat="true" ht="14.9" hidden="false" customHeight="false" outlineLevel="0" collapsed="false">
      <c r="A379" s="380" t="n">
        <v>369</v>
      </c>
      <c r="B379" s="381" t="str">
        <f aca="false">CONCATENATE(INT((A379-1)/12)+1,"-й год ",A379-1-INT((A379-1)/12)*12+1,"-й мес")</f>
        <v>31-й год 9-й мес</v>
      </c>
      <c r="C379" s="382" t="n">
        <f aca="false">DATE(YEAR(C378),MONTH(C378)+1,DAY(C378))</f>
        <v>55093</v>
      </c>
      <c r="D379" s="383" t="n">
        <f aca="false">IFERROR(IF(R379*$D$4/100/12/(1-(1+$D$4/100/12)^(-Q379))&lt;G378,ROUNDUP(R379*$D$4/100/12/(1-(1+$D$4/100/12)^(-Q379)),0),G378+F379),0)</f>
        <v>0</v>
      </c>
      <c r="E379" s="384" t="n">
        <f aca="false">D379-F379</f>
        <v>0</v>
      </c>
      <c r="F379" s="384" t="n">
        <f aca="false">G378*$D$4*(C379-C378)/(DATE(YEAR(C379)+1,1,1)-DATE(YEAR(C379),1,1))/100</f>
        <v>0</v>
      </c>
      <c r="G379" s="385" t="n">
        <f aca="false">G378-E379-L379-M379</f>
        <v>0</v>
      </c>
      <c r="H379" s="386" t="n">
        <f aca="false">IFERROR(I379+J379,0)</f>
        <v>0</v>
      </c>
      <c r="I379" s="384" t="n">
        <f aca="false">IFERROR(IF($D$3/$D$5&lt;K378,$D$3/$D$5,K378),0)</f>
        <v>0</v>
      </c>
      <c r="J379" s="384" t="n">
        <f aca="false">K378*$D$4/12/100</f>
        <v>0</v>
      </c>
      <c r="K379" s="387" t="n">
        <f aca="false">K378-I379-L379-M379</f>
        <v>0</v>
      </c>
      <c r="L379" s="388"/>
      <c r="M379" s="389"/>
      <c r="N379" s="409"/>
      <c r="O379" s="409"/>
      <c r="P379" s="391" t="n">
        <f aca="false">IF(ISBLANK(L378),VALUE(P378),ROW(L378))</f>
        <v>10</v>
      </c>
      <c r="Q379" s="314" t="n">
        <f aca="false">Q378+P378-P379</f>
        <v>12</v>
      </c>
      <c r="R379" s="314" t="n">
        <f aca="false">INDEX(G:G,P379,1)</f>
        <v>69000</v>
      </c>
      <c r="S379" s="312"/>
    </row>
    <row r="380" s="379" customFormat="true" ht="14.9" hidden="false" customHeight="false" outlineLevel="0" collapsed="false">
      <c r="A380" s="380" t="n">
        <v>370</v>
      </c>
      <c r="B380" s="381" t="str">
        <f aca="false">CONCATENATE(INT((A380-1)/12)+1,"-й год ",A380-1-INT((A380-1)/12)*12+1,"-й мес")</f>
        <v>31-й год 10-й мес</v>
      </c>
      <c r="C380" s="382" t="n">
        <f aca="false">DATE(YEAR(C379),MONTH(C379)+1,DAY(C379))</f>
        <v>55123</v>
      </c>
      <c r="D380" s="383" t="n">
        <f aca="false">IFERROR(IF(R380*$D$4/100/12/(1-(1+$D$4/100/12)^(-Q380))&lt;G379,ROUNDUP(R380*$D$4/100/12/(1-(1+$D$4/100/12)^(-Q380)),0),G379+F380),0)</f>
        <v>0</v>
      </c>
      <c r="E380" s="384" t="n">
        <f aca="false">D380-F380</f>
        <v>0</v>
      </c>
      <c r="F380" s="384" t="n">
        <f aca="false">G379*$D$4*(C380-C379)/(DATE(YEAR(C380)+1,1,1)-DATE(YEAR(C380),1,1))/100</f>
        <v>0</v>
      </c>
      <c r="G380" s="385" t="n">
        <f aca="false">G379-E380-L380-M380</f>
        <v>0</v>
      </c>
      <c r="H380" s="386" t="n">
        <f aca="false">IFERROR(I380+J380,0)</f>
        <v>0</v>
      </c>
      <c r="I380" s="384" t="n">
        <f aca="false">IFERROR(IF($D$3/$D$5&lt;K379,$D$3/$D$5,K379),0)</f>
        <v>0</v>
      </c>
      <c r="J380" s="384" t="n">
        <f aca="false">K379*$D$4/12/100</f>
        <v>0</v>
      </c>
      <c r="K380" s="387" t="n">
        <f aca="false">K379-I380-L380-M380</f>
        <v>0</v>
      </c>
      <c r="L380" s="388"/>
      <c r="M380" s="389"/>
      <c r="N380" s="409"/>
      <c r="O380" s="409"/>
      <c r="P380" s="391" t="n">
        <f aca="false">IF(ISBLANK(L379),VALUE(P379),ROW(L379))</f>
        <v>10</v>
      </c>
      <c r="Q380" s="314" t="n">
        <f aca="false">Q379+P379-P380</f>
        <v>12</v>
      </c>
      <c r="R380" s="314" t="n">
        <f aca="false">INDEX(G:G,P380,1)</f>
        <v>69000</v>
      </c>
      <c r="S380" s="312"/>
    </row>
    <row r="381" s="379" customFormat="true" ht="14.9" hidden="false" customHeight="false" outlineLevel="0" collapsed="false">
      <c r="A381" s="380" t="n">
        <v>371</v>
      </c>
      <c r="B381" s="381" t="str">
        <f aca="false">CONCATENATE(INT((A381-1)/12)+1,"-й год ",A381-1-INT((A381-1)/12)*12+1,"-й мес")</f>
        <v>31-й год 11-й мес</v>
      </c>
      <c r="C381" s="382" t="n">
        <f aca="false">DATE(YEAR(C380),MONTH(C380)+1,DAY(C380))</f>
        <v>55154</v>
      </c>
      <c r="D381" s="383" t="n">
        <f aca="false">IFERROR(IF(R381*$D$4/100/12/(1-(1+$D$4/100/12)^(-Q381))&lt;G380,ROUNDUP(R381*$D$4/100/12/(1-(1+$D$4/100/12)^(-Q381)),0),G380+F381),0)</f>
        <v>0</v>
      </c>
      <c r="E381" s="384" t="n">
        <f aca="false">D381-F381</f>
        <v>0</v>
      </c>
      <c r="F381" s="384" t="n">
        <f aca="false">G380*$D$4*(C381-C380)/(DATE(YEAR(C381)+1,1,1)-DATE(YEAR(C381),1,1))/100</f>
        <v>0</v>
      </c>
      <c r="G381" s="385" t="n">
        <f aca="false">G380-E381-L381-M381</f>
        <v>0</v>
      </c>
      <c r="H381" s="386" t="n">
        <f aca="false">IFERROR(I381+J381,0)</f>
        <v>0</v>
      </c>
      <c r="I381" s="384" t="n">
        <f aca="false">IFERROR(IF($D$3/$D$5&lt;K380,$D$3/$D$5,K380),0)</f>
        <v>0</v>
      </c>
      <c r="J381" s="384" t="n">
        <f aca="false">K380*$D$4/12/100</f>
        <v>0</v>
      </c>
      <c r="K381" s="387" t="n">
        <f aca="false">K380-I381-L381-M381</f>
        <v>0</v>
      </c>
      <c r="L381" s="388"/>
      <c r="M381" s="389"/>
      <c r="N381" s="409"/>
      <c r="O381" s="409"/>
      <c r="P381" s="391" t="n">
        <f aca="false">IF(ISBLANK(L380),VALUE(P380),ROW(L380))</f>
        <v>10</v>
      </c>
      <c r="Q381" s="314" t="n">
        <f aca="false">Q380+P380-P381</f>
        <v>12</v>
      </c>
      <c r="R381" s="314" t="n">
        <f aca="false">INDEX(G:G,P381,1)</f>
        <v>69000</v>
      </c>
      <c r="S381" s="312"/>
    </row>
    <row r="382" s="379" customFormat="true" ht="14.9" hidden="false" customHeight="false" outlineLevel="0" collapsed="false">
      <c r="A382" s="380" t="n">
        <v>372</v>
      </c>
      <c r="B382" s="392" t="str">
        <f aca="false">CONCATENATE(INT((A382-1)/12)+1,"-й год ",A382-1-INT((A382-1)/12)*12+1,"-й мес")</f>
        <v>31-й год 12-й мес</v>
      </c>
      <c r="C382" s="393" t="n">
        <f aca="false">DATE(YEAR(C381),MONTH(C381)+1,DAY(C381))</f>
        <v>55185</v>
      </c>
      <c r="D382" s="394" t="n">
        <f aca="false">IFERROR(IF(R382*$D$4/100/12/(1-(1+$D$4/100/12)^(-Q382))&lt;G381,ROUNDUP(R382*$D$4/100/12/(1-(1+$D$4/100/12)^(-Q382)),0),G381+F382),0)</f>
        <v>0</v>
      </c>
      <c r="E382" s="395" t="n">
        <f aca="false">D382-F382</f>
        <v>0</v>
      </c>
      <c r="F382" s="395" t="n">
        <f aca="false">G381*$D$4*(C382-C381)/(DATE(YEAR(C382)+1,1,1)-DATE(YEAR(C382),1,1))/100</f>
        <v>0</v>
      </c>
      <c r="G382" s="385" t="n">
        <f aca="false">G381-E382-L382-M382</f>
        <v>0</v>
      </c>
      <c r="H382" s="386" t="n">
        <f aca="false">IFERROR(I382+J382,0)</f>
        <v>0</v>
      </c>
      <c r="I382" s="384" t="n">
        <f aca="false">IFERROR(IF($D$3/$D$5&lt;K381,$D$3/$D$5,K381),0)</f>
        <v>0</v>
      </c>
      <c r="J382" s="384" t="n">
        <f aca="false">K381*$D$4/12/100</f>
        <v>0</v>
      </c>
      <c r="K382" s="387" t="n">
        <f aca="false">K381-I382-L382-M382</f>
        <v>0</v>
      </c>
      <c r="L382" s="388"/>
      <c r="M382" s="389"/>
      <c r="N382" s="409"/>
      <c r="O382" s="409"/>
      <c r="P382" s="391" t="n">
        <f aca="false">IF(ISBLANK(L381),VALUE(P381),ROW(L381))</f>
        <v>10</v>
      </c>
      <c r="Q382" s="314" t="n">
        <f aca="false">Q381+P381-P382</f>
        <v>12</v>
      </c>
      <c r="R382" s="314" t="n">
        <f aca="false">INDEX(G:G,P382,1)</f>
        <v>69000</v>
      </c>
      <c r="S382" s="312"/>
    </row>
    <row r="383" s="379" customFormat="true" ht="14.9" hidden="false" customHeight="false" outlineLevel="0" collapsed="false">
      <c r="A383" s="396" t="n">
        <v>373</v>
      </c>
      <c r="B383" s="381" t="str">
        <f aca="false">CONCATENATE(INT((A383-1)/12)+1,"-й год ",A383-1-INT((A383-1)/12)*12+1,"-й мес")</f>
        <v>32-й год 1-й мес</v>
      </c>
      <c r="C383" s="382" t="n">
        <f aca="false">DATE(YEAR(C382),MONTH(C382)+1,DAY(C382))</f>
        <v>55213</v>
      </c>
      <c r="D383" s="383" t="n">
        <f aca="false">IFERROR(IF(R383*$D$4/100/12/(1-(1+$D$4/100/12)^(-Q383))&lt;G382,ROUNDUP(R383*$D$4/100/12/(1-(1+$D$4/100/12)^(-Q383)),0),G382+F383),0)</f>
        <v>0</v>
      </c>
      <c r="E383" s="384" t="n">
        <f aca="false">D383-F383</f>
        <v>0</v>
      </c>
      <c r="F383" s="384" t="n">
        <f aca="false">G382*$D$4*(C383-C382)/(DATE(YEAR(C383)+1,1,1)-DATE(YEAR(C383),1,1))/100</f>
        <v>0</v>
      </c>
      <c r="G383" s="397" t="n">
        <f aca="false">G382-E383-L383-M383</f>
        <v>0</v>
      </c>
      <c r="H383" s="398" t="n">
        <f aca="false">IFERROR(I383+J383,0)</f>
        <v>0</v>
      </c>
      <c r="I383" s="399" t="n">
        <f aca="false">IFERROR(IF($D$3/$D$5&lt;K382,$D$3/$D$5,K382),0)</f>
        <v>0</v>
      </c>
      <c r="J383" s="399" t="n">
        <f aca="false">K382*$D$4/12/100</f>
        <v>0</v>
      </c>
      <c r="K383" s="400" t="n">
        <f aca="false">K382-I383-L383-M383</f>
        <v>0</v>
      </c>
      <c r="L383" s="401"/>
      <c r="M383" s="402"/>
      <c r="N383" s="409"/>
      <c r="O383" s="409"/>
      <c r="P383" s="391" t="n">
        <f aca="false">IF(ISBLANK(L382),VALUE(P382),ROW(L382))</f>
        <v>10</v>
      </c>
      <c r="Q383" s="314" t="n">
        <f aca="false">Q382+P382-P383</f>
        <v>12</v>
      </c>
      <c r="R383" s="314" t="n">
        <f aca="false">INDEX(G:G,P383,1)</f>
        <v>69000</v>
      </c>
      <c r="S383" s="312"/>
    </row>
    <row r="384" s="379" customFormat="true" ht="14.9" hidden="false" customHeight="false" outlineLevel="0" collapsed="false">
      <c r="A384" s="403" t="n">
        <v>374</v>
      </c>
      <c r="B384" s="381" t="str">
        <f aca="false">CONCATENATE(INT((A384-1)/12)+1,"-й год ",A384-1-INT((A384-1)/12)*12+1,"-й мес")</f>
        <v>32-й год 2-й мес</v>
      </c>
      <c r="C384" s="382" t="n">
        <f aca="false">DATE(YEAR(C383),MONTH(C383)+1,DAY(C383))</f>
        <v>55244</v>
      </c>
      <c r="D384" s="383" t="n">
        <f aca="false">IFERROR(IF(R384*$D$4/100/12/(1-(1+$D$4/100/12)^(-Q384))&lt;G383,ROUNDUP(R384*$D$4/100/12/(1-(1+$D$4/100/12)^(-Q384)),0),G383+F384),0)</f>
        <v>0</v>
      </c>
      <c r="E384" s="384" t="n">
        <f aca="false">D384-F384</f>
        <v>0</v>
      </c>
      <c r="F384" s="384" t="n">
        <f aca="false">G383*$D$4*(C384-C383)/(DATE(YEAR(C384)+1,1,1)-DATE(YEAR(C384),1,1))/100</f>
        <v>0</v>
      </c>
      <c r="G384" s="385" t="n">
        <f aca="false">G383-E384-L384-M384</f>
        <v>0</v>
      </c>
      <c r="H384" s="386" t="n">
        <f aca="false">IFERROR(I384+J384,0)</f>
        <v>0</v>
      </c>
      <c r="I384" s="384" t="n">
        <f aca="false">IFERROR(IF($D$3/$D$5&lt;K383,$D$3/$D$5,K383),0)</f>
        <v>0</v>
      </c>
      <c r="J384" s="384" t="n">
        <f aca="false">K383*$D$4/12/100</f>
        <v>0</v>
      </c>
      <c r="K384" s="387" t="n">
        <f aca="false">K383-I384-L384-M384</f>
        <v>0</v>
      </c>
      <c r="L384" s="388"/>
      <c r="M384" s="389"/>
      <c r="N384" s="409"/>
      <c r="O384" s="409"/>
      <c r="P384" s="391" t="n">
        <f aca="false">IF(ISBLANK(L383),VALUE(P383),ROW(L383))</f>
        <v>10</v>
      </c>
      <c r="Q384" s="314" t="n">
        <f aca="false">Q383+P383-P384</f>
        <v>12</v>
      </c>
      <c r="R384" s="314" t="n">
        <f aca="false">INDEX(G:G,P384,1)</f>
        <v>69000</v>
      </c>
      <c r="S384" s="312"/>
    </row>
    <row r="385" s="379" customFormat="true" ht="14.9" hidden="false" customHeight="false" outlineLevel="0" collapsed="false">
      <c r="A385" s="403" t="n">
        <v>375</v>
      </c>
      <c r="B385" s="381" t="str">
        <f aca="false">CONCATENATE(INT((A385-1)/12)+1,"-й год ",A385-1-INT((A385-1)/12)*12+1,"-й мес")</f>
        <v>32-й год 3-й мес</v>
      </c>
      <c r="C385" s="382" t="n">
        <f aca="false">DATE(YEAR(C384),MONTH(C384)+1,DAY(C384))</f>
        <v>55274</v>
      </c>
      <c r="D385" s="383" t="n">
        <f aca="false">IFERROR(IF(R385*$D$4/100/12/(1-(1+$D$4/100/12)^(-Q385))&lt;G384,ROUNDUP(R385*$D$4/100/12/(1-(1+$D$4/100/12)^(-Q385)),0),G384+F385),0)</f>
        <v>0</v>
      </c>
      <c r="E385" s="384" t="n">
        <f aca="false">D385-F385</f>
        <v>0</v>
      </c>
      <c r="F385" s="384" t="n">
        <f aca="false">G384*$D$4*(C385-C384)/(DATE(YEAR(C385)+1,1,1)-DATE(YEAR(C385),1,1))/100</f>
        <v>0</v>
      </c>
      <c r="G385" s="385" t="n">
        <f aca="false">G384-E385-L385-M385</f>
        <v>0</v>
      </c>
      <c r="H385" s="386" t="n">
        <f aca="false">IFERROR(I385+J385,0)</f>
        <v>0</v>
      </c>
      <c r="I385" s="384" t="n">
        <f aca="false">IFERROR(IF($D$3/$D$5&lt;K384,$D$3/$D$5,K384),0)</f>
        <v>0</v>
      </c>
      <c r="J385" s="384" t="n">
        <f aca="false">K384*$D$4/12/100</f>
        <v>0</v>
      </c>
      <c r="K385" s="387" t="n">
        <f aca="false">K384-I385-L385-M385</f>
        <v>0</v>
      </c>
      <c r="L385" s="388"/>
      <c r="M385" s="389"/>
      <c r="N385" s="409"/>
      <c r="O385" s="409"/>
      <c r="P385" s="391" t="n">
        <f aca="false">IF(ISBLANK(L384),VALUE(P384),ROW(L384))</f>
        <v>10</v>
      </c>
      <c r="Q385" s="314" t="n">
        <f aca="false">Q384+P384-P385</f>
        <v>12</v>
      </c>
      <c r="R385" s="314" t="n">
        <f aca="false">INDEX(G:G,P385,1)</f>
        <v>69000</v>
      </c>
      <c r="S385" s="312"/>
    </row>
    <row r="386" s="379" customFormat="true" ht="14.9" hidden="false" customHeight="false" outlineLevel="0" collapsed="false">
      <c r="A386" s="403" t="n">
        <v>376</v>
      </c>
      <c r="B386" s="381" t="str">
        <f aca="false">CONCATENATE(INT((A386-1)/12)+1,"-й год ",A386-1-INT((A386-1)/12)*12+1,"-й мес")</f>
        <v>32-й год 4-й мес</v>
      </c>
      <c r="C386" s="382" t="n">
        <f aca="false">DATE(YEAR(C385),MONTH(C385)+1,DAY(C385))</f>
        <v>55305</v>
      </c>
      <c r="D386" s="383" t="n">
        <f aca="false">IFERROR(IF(R386*$D$4/100/12/(1-(1+$D$4/100/12)^(-Q386))&lt;G385,ROUNDUP(R386*$D$4/100/12/(1-(1+$D$4/100/12)^(-Q386)),0),G385+F386),0)</f>
        <v>0</v>
      </c>
      <c r="E386" s="384" t="n">
        <f aca="false">D386-F386</f>
        <v>0</v>
      </c>
      <c r="F386" s="384" t="n">
        <f aca="false">G385*$D$4*(C386-C385)/(DATE(YEAR(C386)+1,1,1)-DATE(YEAR(C386),1,1))/100</f>
        <v>0</v>
      </c>
      <c r="G386" s="385" t="n">
        <f aca="false">G385-E386-L386-M386</f>
        <v>0</v>
      </c>
      <c r="H386" s="386" t="n">
        <f aca="false">IFERROR(I386+J386,0)</f>
        <v>0</v>
      </c>
      <c r="I386" s="384" t="n">
        <f aca="false">IFERROR(IF($D$3/$D$5&lt;K385,$D$3/$D$5,K385),0)</f>
        <v>0</v>
      </c>
      <c r="J386" s="384" t="n">
        <f aca="false">K385*$D$4/12/100</f>
        <v>0</v>
      </c>
      <c r="K386" s="387" t="n">
        <f aca="false">K385-I386-L386-M386</f>
        <v>0</v>
      </c>
      <c r="L386" s="388"/>
      <c r="M386" s="389"/>
      <c r="N386" s="409"/>
      <c r="O386" s="409"/>
      <c r="P386" s="391" t="n">
        <f aca="false">IF(ISBLANK(L385),VALUE(P385),ROW(L385))</f>
        <v>10</v>
      </c>
      <c r="Q386" s="314" t="n">
        <f aca="false">Q385+P385-P386</f>
        <v>12</v>
      </c>
      <c r="R386" s="314" t="n">
        <f aca="false">INDEX(G:G,P386,1)</f>
        <v>69000</v>
      </c>
      <c r="S386" s="312"/>
    </row>
    <row r="387" s="379" customFormat="true" ht="14.9" hidden="false" customHeight="false" outlineLevel="0" collapsed="false">
      <c r="A387" s="403" t="n">
        <v>377</v>
      </c>
      <c r="B387" s="381" t="str">
        <f aca="false">CONCATENATE(INT((A387-1)/12)+1,"-й год ",A387-1-INT((A387-1)/12)*12+1,"-й мес")</f>
        <v>32-й год 5-й мес</v>
      </c>
      <c r="C387" s="382" t="n">
        <f aca="false">DATE(YEAR(C386),MONTH(C386)+1,DAY(C386))</f>
        <v>55335</v>
      </c>
      <c r="D387" s="383" t="n">
        <f aca="false">IFERROR(IF(R387*$D$4/100/12/(1-(1+$D$4/100/12)^(-Q387))&lt;G386,ROUNDUP(R387*$D$4/100/12/(1-(1+$D$4/100/12)^(-Q387)),0),G386+F387),0)</f>
        <v>0</v>
      </c>
      <c r="E387" s="384" t="n">
        <f aca="false">D387-F387</f>
        <v>0</v>
      </c>
      <c r="F387" s="384" t="n">
        <f aca="false">G386*$D$4*(C387-C386)/(DATE(YEAR(C387)+1,1,1)-DATE(YEAR(C387),1,1))/100</f>
        <v>0</v>
      </c>
      <c r="G387" s="385" t="n">
        <f aca="false">G386-E387-L387-M387</f>
        <v>0</v>
      </c>
      <c r="H387" s="386" t="n">
        <f aca="false">IFERROR(I387+J387,0)</f>
        <v>0</v>
      </c>
      <c r="I387" s="384" t="n">
        <f aca="false">IFERROR(IF($D$3/$D$5&lt;K386,$D$3/$D$5,K386),0)</f>
        <v>0</v>
      </c>
      <c r="J387" s="384" t="n">
        <f aca="false">K386*$D$4/12/100</f>
        <v>0</v>
      </c>
      <c r="K387" s="387" t="n">
        <f aca="false">K386-I387-L387-M387</f>
        <v>0</v>
      </c>
      <c r="L387" s="388"/>
      <c r="M387" s="389"/>
      <c r="N387" s="409"/>
      <c r="O387" s="409"/>
      <c r="P387" s="391" t="n">
        <f aca="false">IF(ISBLANK(L386),VALUE(P386),ROW(L386))</f>
        <v>10</v>
      </c>
      <c r="Q387" s="314" t="n">
        <f aca="false">Q386+P386-P387</f>
        <v>12</v>
      </c>
      <c r="R387" s="314" t="n">
        <f aca="false">INDEX(G:G,P387,1)</f>
        <v>69000</v>
      </c>
      <c r="S387" s="312"/>
    </row>
    <row r="388" s="379" customFormat="true" ht="14.9" hidden="false" customHeight="false" outlineLevel="0" collapsed="false">
      <c r="A388" s="403" t="n">
        <v>378</v>
      </c>
      <c r="B388" s="381" t="str">
        <f aca="false">CONCATENATE(INT((A388-1)/12)+1,"-й год ",A388-1-INT((A388-1)/12)*12+1,"-й мес")</f>
        <v>32-й год 6-й мес</v>
      </c>
      <c r="C388" s="382" t="n">
        <f aca="false">DATE(YEAR(C387),MONTH(C387)+1,DAY(C387))</f>
        <v>55366</v>
      </c>
      <c r="D388" s="383" t="n">
        <f aca="false">IFERROR(IF(R388*$D$4/100/12/(1-(1+$D$4/100/12)^(-Q388))&lt;G387,ROUNDUP(R388*$D$4/100/12/(1-(1+$D$4/100/12)^(-Q388)),0),G387+F388),0)</f>
        <v>0</v>
      </c>
      <c r="E388" s="384" t="n">
        <f aca="false">D388-F388</f>
        <v>0</v>
      </c>
      <c r="F388" s="384" t="n">
        <f aca="false">G387*$D$4*(C388-C387)/(DATE(YEAR(C388)+1,1,1)-DATE(YEAR(C388),1,1))/100</f>
        <v>0</v>
      </c>
      <c r="G388" s="385" t="n">
        <f aca="false">G387-E388-L388-M388</f>
        <v>0</v>
      </c>
      <c r="H388" s="386" t="n">
        <f aca="false">IFERROR(I388+J388,0)</f>
        <v>0</v>
      </c>
      <c r="I388" s="384" t="n">
        <f aca="false">IFERROR(IF($D$3/$D$5&lt;K387,$D$3/$D$5,K387),0)</f>
        <v>0</v>
      </c>
      <c r="J388" s="384" t="n">
        <f aca="false">K387*$D$4/12/100</f>
        <v>0</v>
      </c>
      <c r="K388" s="387" t="n">
        <f aca="false">K387-I388-L388-M388</f>
        <v>0</v>
      </c>
      <c r="L388" s="388"/>
      <c r="M388" s="389"/>
      <c r="N388" s="409"/>
      <c r="O388" s="409"/>
      <c r="P388" s="391" t="n">
        <f aca="false">IF(ISBLANK(L387),VALUE(P387),ROW(L387))</f>
        <v>10</v>
      </c>
      <c r="Q388" s="314" t="n">
        <f aca="false">Q387+P387-P388</f>
        <v>12</v>
      </c>
      <c r="R388" s="314" t="n">
        <f aca="false">INDEX(G:G,P388,1)</f>
        <v>69000</v>
      </c>
      <c r="S388" s="312"/>
    </row>
    <row r="389" s="379" customFormat="true" ht="14.9" hidden="false" customHeight="false" outlineLevel="0" collapsed="false">
      <c r="A389" s="403" t="n">
        <v>379</v>
      </c>
      <c r="B389" s="381" t="str">
        <f aca="false">CONCATENATE(INT((A389-1)/12)+1,"-й год ",A389-1-INT((A389-1)/12)*12+1,"-й мес")</f>
        <v>32-й год 7-й мес</v>
      </c>
      <c r="C389" s="382" t="n">
        <f aca="false">DATE(YEAR(C388),MONTH(C388)+1,DAY(C388))</f>
        <v>55397</v>
      </c>
      <c r="D389" s="383" t="n">
        <f aca="false">IFERROR(IF(R389*$D$4/100/12/(1-(1+$D$4/100/12)^(-Q389))&lt;G388,ROUNDUP(R389*$D$4/100/12/(1-(1+$D$4/100/12)^(-Q389)),0),G388+F389),0)</f>
        <v>0</v>
      </c>
      <c r="E389" s="384" t="n">
        <f aca="false">D389-F389</f>
        <v>0</v>
      </c>
      <c r="F389" s="384" t="n">
        <f aca="false">G388*$D$4*(C389-C388)/(DATE(YEAR(C389)+1,1,1)-DATE(YEAR(C389),1,1))/100</f>
        <v>0</v>
      </c>
      <c r="G389" s="385" t="n">
        <f aca="false">G388-E389-L389-M389</f>
        <v>0</v>
      </c>
      <c r="H389" s="386" t="n">
        <f aca="false">IFERROR(I389+J389,0)</f>
        <v>0</v>
      </c>
      <c r="I389" s="384" t="n">
        <f aca="false">IFERROR(IF($D$3/$D$5&lt;K388,$D$3/$D$5,K388),0)</f>
        <v>0</v>
      </c>
      <c r="J389" s="384" t="n">
        <f aca="false">K388*$D$4/12/100</f>
        <v>0</v>
      </c>
      <c r="K389" s="387" t="n">
        <f aca="false">K388-I389-L389-M389</f>
        <v>0</v>
      </c>
      <c r="L389" s="388"/>
      <c r="M389" s="389"/>
      <c r="N389" s="409"/>
      <c r="O389" s="409"/>
      <c r="P389" s="391" t="n">
        <f aca="false">IF(ISBLANK(L388),VALUE(P388),ROW(L388))</f>
        <v>10</v>
      </c>
      <c r="Q389" s="314" t="n">
        <f aca="false">Q388+P388-P389</f>
        <v>12</v>
      </c>
      <c r="R389" s="314" t="n">
        <f aca="false">INDEX(G:G,P389,1)</f>
        <v>69000</v>
      </c>
      <c r="S389" s="312"/>
    </row>
    <row r="390" s="379" customFormat="true" ht="14.9" hidden="false" customHeight="false" outlineLevel="0" collapsed="false">
      <c r="A390" s="403" t="n">
        <v>380</v>
      </c>
      <c r="B390" s="381" t="str">
        <f aca="false">CONCATENATE(INT((A390-1)/12)+1,"-й год ",A390-1-INT((A390-1)/12)*12+1,"-й мес")</f>
        <v>32-й год 8-й мес</v>
      </c>
      <c r="C390" s="382" t="n">
        <f aca="false">DATE(YEAR(C389),MONTH(C389)+1,DAY(C389))</f>
        <v>55427</v>
      </c>
      <c r="D390" s="383" t="n">
        <f aca="false">IFERROR(IF(R390*$D$4/100/12/(1-(1+$D$4/100/12)^(-Q390))&lt;G389,ROUNDUP(R390*$D$4/100/12/(1-(1+$D$4/100/12)^(-Q390)),0),G389+F390),0)</f>
        <v>0</v>
      </c>
      <c r="E390" s="384" t="n">
        <f aca="false">D390-F390</f>
        <v>0</v>
      </c>
      <c r="F390" s="384" t="n">
        <f aca="false">G389*$D$4*(C390-C389)/(DATE(YEAR(C390)+1,1,1)-DATE(YEAR(C390),1,1))/100</f>
        <v>0</v>
      </c>
      <c r="G390" s="385" t="n">
        <f aca="false">G389-E390-L390-M390</f>
        <v>0</v>
      </c>
      <c r="H390" s="386" t="n">
        <f aca="false">IFERROR(I390+J390,0)</f>
        <v>0</v>
      </c>
      <c r="I390" s="384" t="n">
        <f aca="false">IFERROR(IF($D$3/$D$5&lt;K389,$D$3/$D$5,K389),0)</f>
        <v>0</v>
      </c>
      <c r="J390" s="384" t="n">
        <f aca="false">K389*$D$4/12/100</f>
        <v>0</v>
      </c>
      <c r="K390" s="387" t="n">
        <f aca="false">K389-I390-L390-M390</f>
        <v>0</v>
      </c>
      <c r="L390" s="388"/>
      <c r="M390" s="389"/>
      <c r="N390" s="409"/>
      <c r="O390" s="409"/>
      <c r="P390" s="391" t="n">
        <f aca="false">IF(ISBLANK(L389),VALUE(P389),ROW(L389))</f>
        <v>10</v>
      </c>
      <c r="Q390" s="314" t="n">
        <f aca="false">Q389+P389-P390</f>
        <v>12</v>
      </c>
      <c r="R390" s="314" t="n">
        <f aca="false">INDEX(G:G,P390,1)</f>
        <v>69000</v>
      </c>
      <c r="S390" s="312"/>
    </row>
    <row r="391" s="379" customFormat="true" ht="14.9" hidden="false" customHeight="false" outlineLevel="0" collapsed="false">
      <c r="A391" s="403" t="n">
        <v>381</v>
      </c>
      <c r="B391" s="381" t="str">
        <f aca="false">CONCATENATE(INT((A391-1)/12)+1,"-й год ",A391-1-INT((A391-1)/12)*12+1,"-й мес")</f>
        <v>32-й год 9-й мес</v>
      </c>
      <c r="C391" s="382" t="n">
        <f aca="false">DATE(YEAR(C390),MONTH(C390)+1,DAY(C390))</f>
        <v>55458</v>
      </c>
      <c r="D391" s="383" t="n">
        <f aca="false">IFERROR(IF(R391*$D$4/100/12/(1-(1+$D$4/100/12)^(-Q391))&lt;G390,ROUNDUP(R391*$D$4/100/12/(1-(1+$D$4/100/12)^(-Q391)),0),G390+F391),0)</f>
        <v>0</v>
      </c>
      <c r="E391" s="384" t="n">
        <f aca="false">D391-F391</f>
        <v>0</v>
      </c>
      <c r="F391" s="384" t="n">
        <f aca="false">G390*$D$4*(C391-C390)/(DATE(YEAR(C391)+1,1,1)-DATE(YEAR(C391),1,1))/100</f>
        <v>0</v>
      </c>
      <c r="G391" s="385" t="n">
        <f aca="false">G390-E391-L391-M391</f>
        <v>0</v>
      </c>
      <c r="H391" s="386" t="n">
        <f aca="false">IFERROR(I391+J391,0)</f>
        <v>0</v>
      </c>
      <c r="I391" s="384" t="n">
        <f aca="false">IFERROR(IF($D$3/$D$5&lt;K390,$D$3/$D$5,K390),0)</f>
        <v>0</v>
      </c>
      <c r="J391" s="384" t="n">
        <f aca="false">K390*$D$4/12/100</f>
        <v>0</v>
      </c>
      <c r="K391" s="387" t="n">
        <f aca="false">K390-I391-L391-M391</f>
        <v>0</v>
      </c>
      <c r="L391" s="388"/>
      <c r="M391" s="389"/>
      <c r="N391" s="409"/>
      <c r="O391" s="409"/>
      <c r="P391" s="391" t="n">
        <f aca="false">IF(ISBLANK(L390),VALUE(P390),ROW(L390))</f>
        <v>10</v>
      </c>
      <c r="Q391" s="314" t="n">
        <f aca="false">Q390+P390-P391</f>
        <v>12</v>
      </c>
      <c r="R391" s="314" t="n">
        <f aca="false">INDEX(G:G,P391,1)</f>
        <v>69000</v>
      </c>
      <c r="S391" s="312"/>
    </row>
    <row r="392" s="379" customFormat="true" ht="14.9" hidden="false" customHeight="false" outlineLevel="0" collapsed="false">
      <c r="A392" s="403" t="n">
        <v>382</v>
      </c>
      <c r="B392" s="381" t="str">
        <f aca="false">CONCATENATE(INT((A392-1)/12)+1,"-й год ",A392-1-INT((A392-1)/12)*12+1,"-й мес")</f>
        <v>32-й год 10-й мес</v>
      </c>
      <c r="C392" s="382" t="n">
        <f aca="false">DATE(YEAR(C391),MONTH(C391)+1,DAY(C391))</f>
        <v>55488</v>
      </c>
      <c r="D392" s="383" t="n">
        <f aca="false">IFERROR(IF(R392*$D$4/100/12/(1-(1+$D$4/100/12)^(-Q392))&lt;G391,ROUNDUP(R392*$D$4/100/12/(1-(1+$D$4/100/12)^(-Q392)),0),G391+F392),0)</f>
        <v>0</v>
      </c>
      <c r="E392" s="384" t="n">
        <f aca="false">D392-F392</f>
        <v>0</v>
      </c>
      <c r="F392" s="384" t="n">
        <f aca="false">G391*$D$4*(C392-C391)/(DATE(YEAR(C392)+1,1,1)-DATE(YEAR(C392),1,1))/100</f>
        <v>0</v>
      </c>
      <c r="G392" s="385" t="n">
        <f aca="false">G391-E392-L392-M392</f>
        <v>0</v>
      </c>
      <c r="H392" s="386" t="n">
        <f aca="false">IFERROR(I392+J392,0)</f>
        <v>0</v>
      </c>
      <c r="I392" s="384" t="n">
        <f aca="false">IFERROR(IF($D$3/$D$5&lt;K391,$D$3/$D$5,K391),0)</f>
        <v>0</v>
      </c>
      <c r="J392" s="384" t="n">
        <f aca="false">K391*$D$4/12/100</f>
        <v>0</v>
      </c>
      <c r="K392" s="387" t="n">
        <f aca="false">K391-I392-L392-M392</f>
        <v>0</v>
      </c>
      <c r="L392" s="388"/>
      <c r="M392" s="389"/>
      <c r="N392" s="409"/>
      <c r="O392" s="409"/>
      <c r="P392" s="391" t="n">
        <f aca="false">IF(ISBLANK(L391),VALUE(P391),ROW(L391))</f>
        <v>10</v>
      </c>
      <c r="Q392" s="314" t="n">
        <f aca="false">Q391+P391-P392</f>
        <v>12</v>
      </c>
      <c r="R392" s="314" t="n">
        <f aca="false">INDEX(G:G,P392,1)</f>
        <v>69000</v>
      </c>
      <c r="S392" s="312"/>
    </row>
    <row r="393" s="379" customFormat="true" ht="14.9" hidden="false" customHeight="false" outlineLevel="0" collapsed="false">
      <c r="A393" s="403" t="n">
        <v>383</v>
      </c>
      <c r="B393" s="411" t="str">
        <f aca="false">CONCATENATE(INT((A393-1)/12)+1,"-й год ",A393-1-INT((A393-1)/12)*12+1,"-й мес")</f>
        <v>32-й год 11-й мес</v>
      </c>
      <c r="C393" s="382" t="n">
        <f aca="false">DATE(YEAR(C392),MONTH(C392)+1,DAY(C392))</f>
        <v>55519</v>
      </c>
      <c r="D393" s="383" t="n">
        <f aca="false">IFERROR(IF(R393*$D$4/100/12/(1-(1+$D$4/100/12)^(-Q393))&lt;G392,ROUNDUP(R393*$D$4/100/12/(1-(1+$D$4/100/12)^(-Q393)),0),G392+F393),0)</f>
        <v>0</v>
      </c>
      <c r="E393" s="384" t="n">
        <f aca="false">D393-F393</f>
        <v>0</v>
      </c>
      <c r="F393" s="384" t="n">
        <f aca="false">G392*$D$4*(C393-C392)/(DATE(YEAR(C393)+1,1,1)-DATE(YEAR(C393),1,1))/100</f>
        <v>0</v>
      </c>
      <c r="G393" s="385" t="n">
        <f aca="false">G392-E393-L393-M393</f>
        <v>0</v>
      </c>
      <c r="H393" s="386" t="n">
        <f aca="false">IFERROR(I393+J393,0)</f>
        <v>0</v>
      </c>
      <c r="I393" s="384" t="n">
        <f aca="false">IFERROR(IF($D$3/$D$5&lt;K392,$D$3/$D$5,K392),0)</f>
        <v>0</v>
      </c>
      <c r="J393" s="384" t="n">
        <f aca="false">K392*$D$4/12/100</f>
        <v>0</v>
      </c>
      <c r="K393" s="387" t="n">
        <f aca="false">K392-I393-L393-M393</f>
        <v>0</v>
      </c>
      <c r="L393" s="388"/>
      <c r="M393" s="389"/>
      <c r="N393" s="409"/>
      <c r="O393" s="409"/>
      <c r="P393" s="391" t="n">
        <f aca="false">IF(ISBLANK(L392),VALUE(P392),ROW(L392))</f>
        <v>10</v>
      </c>
      <c r="Q393" s="314" t="n">
        <f aca="false">Q392+P392-P393</f>
        <v>12</v>
      </c>
      <c r="R393" s="314" t="n">
        <f aca="false">INDEX(G:G,P393,1)</f>
        <v>69000</v>
      </c>
      <c r="S393" s="312"/>
    </row>
    <row r="394" s="379" customFormat="true" ht="14.9" hidden="false" customHeight="false" outlineLevel="0" collapsed="false">
      <c r="A394" s="404" t="n">
        <v>384</v>
      </c>
      <c r="B394" s="392" t="str">
        <f aca="false">CONCATENATE(INT((A394-1)/12)+1,"-й год ",A394-1-INT((A394-1)/12)*12+1,"-й мес")</f>
        <v>32-й год 12-й мес</v>
      </c>
      <c r="C394" s="393" t="n">
        <f aca="false">DATE(YEAR(C393),MONTH(C393)+1,DAY(C393))</f>
        <v>55550</v>
      </c>
      <c r="D394" s="394" t="n">
        <f aca="false">IFERROR(IF(R394*$D$4/100/12/(1-(1+$D$4/100/12)^(-Q394))&lt;G393,ROUNDUP(R394*$D$4/100/12/(1-(1+$D$4/100/12)^(-Q394)),0),G393+F394),0)</f>
        <v>0</v>
      </c>
      <c r="E394" s="395" t="n">
        <f aca="false">D394-F394</f>
        <v>0</v>
      </c>
      <c r="F394" s="395" t="n">
        <f aca="false">G393*$D$4*(C394-C393)/(DATE(YEAR(C394)+1,1,1)-DATE(YEAR(C394),1,1))/100</f>
        <v>0</v>
      </c>
      <c r="G394" s="405" t="n">
        <f aca="false">G393-E394-L394-M394</f>
        <v>0</v>
      </c>
      <c r="H394" s="406" t="n">
        <f aca="false">IFERROR(I394+J394,0)</f>
        <v>0</v>
      </c>
      <c r="I394" s="395" t="n">
        <f aca="false">IFERROR(IF($D$3/$D$5&lt;K393,$D$3/$D$5,K393),0)</f>
        <v>0</v>
      </c>
      <c r="J394" s="395" t="n">
        <f aca="false">K393*$D$4/12/100</f>
        <v>0</v>
      </c>
      <c r="K394" s="407" t="n">
        <f aca="false">K393-I394-L394-M394</f>
        <v>0</v>
      </c>
      <c r="L394" s="408"/>
      <c r="M394" s="410"/>
      <c r="N394" s="409"/>
      <c r="O394" s="409"/>
      <c r="P394" s="391" t="n">
        <f aca="false">IF(ISBLANK(L393),VALUE(P393),ROW(L393))</f>
        <v>10</v>
      </c>
      <c r="Q394" s="314" t="n">
        <f aca="false">Q393+P393-P394</f>
        <v>12</v>
      </c>
      <c r="R394" s="314" t="n">
        <f aca="false">INDEX(G:G,P394,1)</f>
        <v>69000</v>
      </c>
      <c r="S394" s="312"/>
    </row>
    <row r="395" s="379" customFormat="true" ht="14.9" hidden="false" customHeight="false" outlineLevel="0" collapsed="false">
      <c r="A395" s="380" t="n">
        <v>385</v>
      </c>
      <c r="B395" s="381" t="str">
        <f aca="false">CONCATENATE(INT((A395-1)/12)+1,"-й год ",A395-1-INT((A395-1)/12)*12+1,"-й мес")</f>
        <v>33-й год 1-й мес</v>
      </c>
      <c r="C395" s="382" t="n">
        <f aca="false">DATE(YEAR(C394),MONTH(C394)+1,DAY(C394))</f>
        <v>55579</v>
      </c>
      <c r="D395" s="383" t="n">
        <f aca="false">IFERROR(IF(R395*$D$4/100/12/(1-(1+$D$4/100/12)^(-Q395))&lt;G394,ROUNDUP(R395*$D$4/100/12/(1-(1+$D$4/100/12)^(-Q395)),0),G394+F395),0)</f>
        <v>0</v>
      </c>
      <c r="E395" s="384" t="n">
        <f aca="false">D395-F395</f>
        <v>0</v>
      </c>
      <c r="F395" s="384" t="n">
        <f aca="false">G394*$D$4*(C395-C394)/(DATE(YEAR(C395)+1,1,1)-DATE(YEAR(C395),1,1))/100</f>
        <v>0</v>
      </c>
      <c r="G395" s="385" t="n">
        <f aca="false">G394-E395-L395-M395</f>
        <v>0</v>
      </c>
      <c r="H395" s="386" t="n">
        <f aca="false">IFERROR(I395+J395,0)</f>
        <v>0</v>
      </c>
      <c r="I395" s="384" t="n">
        <f aca="false">IFERROR(IF($D$3/$D$5&lt;K394,$D$3/$D$5,K394),0)</f>
        <v>0</v>
      </c>
      <c r="J395" s="384" t="n">
        <f aca="false">K394*$D$4/12/100</f>
        <v>0</v>
      </c>
      <c r="K395" s="387" t="n">
        <f aca="false">K394-I395-L395-M395</f>
        <v>0</v>
      </c>
      <c r="L395" s="388"/>
      <c r="M395" s="389"/>
      <c r="N395" s="409"/>
      <c r="O395" s="409"/>
      <c r="P395" s="391" t="n">
        <f aca="false">IF(ISBLANK(L394),VALUE(P394),ROW(L394))</f>
        <v>10</v>
      </c>
      <c r="Q395" s="314" t="n">
        <f aca="false">Q394+P394-P395</f>
        <v>12</v>
      </c>
      <c r="R395" s="314" t="n">
        <f aca="false">INDEX(G:G,P395,1)</f>
        <v>69000</v>
      </c>
      <c r="S395" s="312"/>
    </row>
    <row r="396" s="379" customFormat="true" ht="14.9" hidden="false" customHeight="false" outlineLevel="0" collapsed="false">
      <c r="A396" s="380" t="n">
        <v>386</v>
      </c>
      <c r="B396" s="381" t="str">
        <f aca="false">CONCATENATE(INT((A396-1)/12)+1,"-й год ",A396-1-INT((A396-1)/12)*12+1,"-й мес")</f>
        <v>33-й год 2-й мес</v>
      </c>
      <c r="C396" s="382" t="n">
        <f aca="false">DATE(YEAR(C395),MONTH(C395)+1,DAY(C395))</f>
        <v>55610</v>
      </c>
      <c r="D396" s="383" t="n">
        <f aca="false">IFERROR(IF(R396*$D$4/100/12/(1-(1+$D$4/100/12)^(-Q396))&lt;G395,ROUNDUP(R396*$D$4/100/12/(1-(1+$D$4/100/12)^(-Q396)),0),G395+F396),0)</f>
        <v>0</v>
      </c>
      <c r="E396" s="384" t="n">
        <f aca="false">D396-F396</f>
        <v>0</v>
      </c>
      <c r="F396" s="384" t="n">
        <f aca="false">G395*$D$4*(C396-C395)/(DATE(YEAR(C396)+1,1,1)-DATE(YEAR(C396),1,1))/100</f>
        <v>0</v>
      </c>
      <c r="G396" s="385" t="n">
        <f aca="false">G395-E396-L396-M396</f>
        <v>0</v>
      </c>
      <c r="H396" s="386" t="n">
        <f aca="false">IFERROR(I396+J396,0)</f>
        <v>0</v>
      </c>
      <c r="I396" s="384" t="n">
        <f aca="false">IFERROR(IF($D$3/$D$5&lt;K395,$D$3/$D$5,K395),0)</f>
        <v>0</v>
      </c>
      <c r="J396" s="384" t="n">
        <f aca="false">K395*$D$4/12/100</f>
        <v>0</v>
      </c>
      <c r="K396" s="387" t="n">
        <f aca="false">K395-I396-L396-M396</f>
        <v>0</v>
      </c>
      <c r="L396" s="388"/>
      <c r="M396" s="389"/>
      <c r="N396" s="409"/>
      <c r="O396" s="409"/>
      <c r="P396" s="391" t="n">
        <f aca="false">IF(ISBLANK(L395),VALUE(P395),ROW(L395))</f>
        <v>10</v>
      </c>
      <c r="Q396" s="314" t="n">
        <f aca="false">Q395+P395-P396</f>
        <v>12</v>
      </c>
      <c r="R396" s="314" t="n">
        <f aca="false">INDEX(G:G,P396,1)</f>
        <v>69000</v>
      </c>
      <c r="S396" s="312"/>
    </row>
    <row r="397" s="379" customFormat="true" ht="14.9" hidden="false" customHeight="false" outlineLevel="0" collapsed="false">
      <c r="A397" s="380" t="n">
        <v>387</v>
      </c>
      <c r="B397" s="381" t="str">
        <f aca="false">CONCATENATE(INT((A397-1)/12)+1,"-й год ",A397-1-INT((A397-1)/12)*12+1,"-й мес")</f>
        <v>33-й год 3-й мес</v>
      </c>
      <c r="C397" s="382" t="n">
        <f aca="false">DATE(YEAR(C396),MONTH(C396)+1,DAY(C396))</f>
        <v>55640</v>
      </c>
      <c r="D397" s="383" t="n">
        <f aca="false">IFERROR(IF(R397*$D$4/100/12/(1-(1+$D$4/100/12)^(-Q397))&lt;G396,ROUNDUP(R397*$D$4/100/12/(1-(1+$D$4/100/12)^(-Q397)),0),G396+F397),0)</f>
        <v>0</v>
      </c>
      <c r="E397" s="384" t="n">
        <f aca="false">D397-F397</f>
        <v>0</v>
      </c>
      <c r="F397" s="384" t="n">
        <f aca="false">G396*$D$4*(C397-C396)/(DATE(YEAR(C397)+1,1,1)-DATE(YEAR(C397),1,1))/100</f>
        <v>0</v>
      </c>
      <c r="G397" s="385" t="n">
        <f aca="false">G396-E397-L397-M397</f>
        <v>0</v>
      </c>
      <c r="H397" s="386" t="n">
        <f aca="false">IFERROR(I397+J397,0)</f>
        <v>0</v>
      </c>
      <c r="I397" s="384" t="n">
        <f aca="false">IFERROR(IF($D$3/$D$5&lt;K396,$D$3/$D$5,K396),0)</f>
        <v>0</v>
      </c>
      <c r="J397" s="384" t="n">
        <f aca="false">K396*$D$4/12/100</f>
        <v>0</v>
      </c>
      <c r="K397" s="387" t="n">
        <f aca="false">K396-I397-L397-M397</f>
        <v>0</v>
      </c>
      <c r="L397" s="388"/>
      <c r="M397" s="389"/>
      <c r="N397" s="409"/>
      <c r="O397" s="409"/>
      <c r="P397" s="391" t="n">
        <f aca="false">IF(ISBLANK(L396),VALUE(P396),ROW(L396))</f>
        <v>10</v>
      </c>
      <c r="Q397" s="314" t="n">
        <f aca="false">Q396+P396-P397</f>
        <v>12</v>
      </c>
      <c r="R397" s="314" t="n">
        <f aca="false">INDEX(G:G,P397,1)</f>
        <v>69000</v>
      </c>
      <c r="S397" s="312"/>
    </row>
    <row r="398" s="379" customFormat="true" ht="14.9" hidden="false" customHeight="false" outlineLevel="0" collapsed="false">
      <c r="A398" s="380" t="n">
        <v>388</v>
      </c>
      <c r="B398" s="381" t="str">
        <f aca="false">CONCATENATE(INT((A398-1)/12)+1,"-й год ",A398-1-INT((A398-1)/12)*12+1,"-й мес")</f>
        <v>33-й год 4-й мес</v>
      </c>
      <c r="C398" s="382" t="n">
        <f aca="false">DATE(YEAR(C397),MONTH(C397)+1,DAY(C397))</f>
        <v>55671</v>
      </c>
      <c r="D398" s="383" t="n">
        <f aca="false">IFERROR(IF(R398*$D$4/100/12/(1-(1+$D$4/100/12)^(-Q398))&lt;G397,ROUNDUP(R398*$D$4/100/12/(1-(1+$D$4/100/12)^(-Q398)),0),G397+F398),0)</f>
        <v>0</v>
      </c>
      <c r="E398" s="384" t="n">
        <f aca="false">D398-F398</f>
        <v>0</v>
      </c>
      <c r="F398" s="384" t="n">
        <f aca="false">G397*$D$4*(C398-C397)/(DATE(YEAR(C398)+1,1,1)-DATE(YEAR(C398),1,1))/100</f>
        <v>0</v>
      </c>
      <c r="G398" s="385" t="n">
        <f aca="false">G397-E398-L398-M398</f>
        <v>0</v>
      </c>
      <c r="H398" s="386" t="n">
        <f aca="false">IFERROR(I398+J398,0)</f>
        <v>0</v>
      </c>
      <c r="I398" s="384" t="n">
        <f aca="false">IFERROR(IF($D$3/$D$5&lt;K397,$D$3/$D$5,K397),0)</f>
        <v>0</v>
      </c>
      <c r="J398" s="384" t="n">
        <f aca="false">K397*$D$4/12/100</f>
        <v>0</v>
      </c>
      <c r="K398" s="387" t="n">
        <f aca="false">K397-I398-L398-M398</f>
        <v>0</v>
      </c>
      <c r="L398" s="388"/>
      <c r="M398" s="389"/>
      <c r="N398" s="409"/>
      <c r="O398" s="409"/>
      <c r="P398" s="391" t="n">
        <f aca="false">IF(ISBLANK(L397),VALUE(P397),ROW(L397))</f>
        <v>10</v>
      </c>
      <c r="Q398" s="314" t="n">
        <f aca="false">Q397+P397-P398</f>
        <v>12</v>
      </c>
      <c r="R398" s="314" t="n">
        <f aca="false">INDEX(G:G,P398,1)</f>
        <v>69000</v>
      </c>
      <c r="S398" s="312"/>
    </row>
    <row r="399" s="379" customFormat="true" ht="14.9" hidden="false" customHeight="false" outlineLevel="0" collapsed="false">
      <c r="A399" s="380" t="n">
        <v>389</v>
      </c>
      <c r="B399" s="381" t="str">
        <f aca="false">CONCATENATE(INT((A399-1)/12)+1,"-й год ",A399-1-INT((A399-1)/12)*12+1,"-й мес")</f>
        <v>33-й год 5-й мес</v>
      </c>
      <c r="C399" s="382" t="n">
        <f aca="false">DATE(YEAR(C398),MONTH(C398)+1,DAY(C398))</f>
        <v>55701</v>
      </c>
      <c r="D399" s="383" t="n">
        <f aca="false">IFERROR(IF(R399*$D$4/100/12/(1-(1+$D$4/100/12)^(-Q399))&lt;G398,ROUNDUP(R399*$D$4/100/12/(1-(1+$D$4/100/12)^(-Q399)),0),G398+F399),0)</f>
        <v>0</v>
      </c>
      <c r="E399" s="384" t="n">
        <f aca="false">D399-F399</f>
        <v>0</v>
      </c>
      <c r="F399" s="384" t="n">
        <f aca="false">G398*$D$4*(C399-C398)/(DATE(YEAR(C399)+1,1,1)-DATE(YEAR(C399),1,1))/100</f>
        <v>0</v>
      </c>
      <c r="G399" s="385" t="n">
        <f aca="false">G398-E399-L399-M399</f>
        <v>0</v>
      </c>
      <c r="H399" s="386" t="n">
        <f aca="false">IFERROR(I399+J399,0)</f>
        <v>0</v>
      </c>
      <c r="I399" s="384" t="n">
        <f aca="false">IFERROR(IF($D$3/$D$5&lt;K398,$D$3/$D$5,K398),0)</f>
        <v>0</v>
      </c>
      <c r="J399" s="384" t="n">
        <f aca="false">K398*$D$4/12/100</f>
        <v>0</v>
      </c>
      <c r="K399" s="387" t="n">
        <f aca="false">K398-I399-L399-M399</f>
        <v>0</v>
      </c>
      <c r="L399" s="388"/>
      <c r="M399" s="389"/>
      <c r="N399" s="409"/>
      <c r="O399" s="409"/>
      <c r="P399" s="391" t="n">
        <f aca="false">IF(ISBLANK(L398),VALUE(P398),ROW(L398))</f>
        <v>10</v>
      </c>
      <c r="Q399" s="314" t="n">
        <f aca="false">Q398+P398-P399</f>
        <v>12</v>
      </c>
      <c r="R399" s="314" t="n">
        <f aca="false">INDEX(G:G,P399,1)</f>
        <v>69000</v>
      </c>
      <c r="S399" s="312"/>
    </row>
    <row r="400" s="379" customFormat="true" ht="14.9" hidden="false" customHeight="false" outlineLevel="0" collapsed="false">
      <c r="A400" s="380" t="n">
        <v>390</v>
      </c>
      <c r="B400" s="381" t="str">
        <f aca="false">CONCATENATE(INT((A400-1)/12)+1,"-й год ",A400-1-INT((A400-1)/12)*12+1,"-й мес")</f>
        <v>33-й год 6-й мес</v>
      </c>
      <c r="C400" s="382" t="n">
        <f aca="false">DATE(YEAR(C399),MONTH(C399)+1,DAY(C399))</f>
        <v>55732</v>
      </c>
      <c r="D400" s="383" t="n">
        <f aca="false">IFERROR(IF(R400*$D$4/100/12/(1-(1+$D$4/100/12)^(-Q400))&lt;G399,ROUNDUP(R400*$D$4/100/12/(1-(1+$D$4/100/12)^(-Q400)),0),G399+F400),0)</f>
        <v>0</v>
      </c>
      <c r="E400" s="384" t="n">
        <f aca="false">D400-F400</f>
        <v>0</v>
      </c>
      <c r="F400" s="384" t="n">
        <f aca="false">G399*$D$4*(C400-C399)/(DATE(YEAR(C400)+1,1,1)-DATE(YEAR(C400),1,1))/100</f>
        <v>0</v>
      </c>
      <c r="G400" s="385" t="n">
        <f aca="false">G399-E400-L400-M400</f>
        <v>0</v>
      </c>
      <c r="H400" s="386" t="n">
        <f aca="false">IFERROR(I400+J400,0)</f>
        <v>0</v>
      </c>
      <c r="I400" s="384" t="n">
        <f aca="false">IFERROR(IF($D$3/$D$5&lt;K399,$D$3/$D$5,K399),0)</f>
        <v>0</v>
      </c>
      <c r="J400" s="384" t="n">
        <f aca="false">K399*$D$4/12/100</f>
        <v>0</v>
      </c>
      <c r="K400" s="387" t="n">
        <f aca="false">K399-I400-L400-M400</f>
        <v>0</v>
      </c>
      <c r="L400" s="388"/>
      <c r="M400" s="389"/>
      <c r="N400" s="409"/>
      <c r="O400" s="409"/>
      <c r="P400" s="391" t="n">
        <f aca="false">IF(ISBLANK(L399),VALUE(P399),ROW(L399))</f>
        <v>10</v>
      </c>
      <c r="Q400" s="314" t="n">
        <f aca="false">Q399+P399-P400</f>
        <v>12</v>
      </c>
      <c r="R400" s="314" t="n">
        <f aca="false">INDEX(G:G,P400,1)</f>
        <v>69000</v>
      </c>
      <c r="S400" s="312"/>
    </row>
    <row r="401" s="379" customFormat="true" ht="14.9" hidden="false" customHeight="false" outlineLevel="0" collapsed="false">
      <c r="A401" s="380" t="n">
        <v>391</v>
      </c>
      <c r="B401" s="381" t="str">
        <f aca="false">CONCATENATE(INT((A401-1)/12)+1,"-й год ",A401-1-INT((A401-1)/12)*12+1,"-й мес")</f>
        <v>33-й год 7-й мес</v>
      </c>
      <c r="C401" s="382" t="n">
        <f aca="false">DATE(YEAR(C400),MONTH(C400)+1,DAY(C400))</f>
        <v>55763</v>
      </c>
      <c r="D401" s="383" t="n">
        <f aca="false">IFERROR(IF(R401*$D$4/100/12/(1-(1+$D$4/100/12)^(-Q401))&lt;G400,ROUNDUP(R401*$D$4/100/12/(1-(1+$D$4/100/12)^(-Q401)),0),G400+F401),0)</f>
        <v>0</v>
      </c>
      <c r="E401" s="384" t="n">
        <f aca="false">D401-F401</f>
        <v>0</v>
      </c>
      <c r="F401" s="384" t="n">
        <f aca="false">G400*$D$4*(C401-C400)/(DATE(YEAR(C401)+1,1,1)-DATE(YEAR(C401),1,1))/100</f>
        <v>0</v>
      </c>
      <c r="G401" s="385" t="n">
        <f aca="false">G400-E401-L401-M401</f>
        <v>0</v>
      </c>
      <c r="H401" s="386" t="n">
        <f aca="false">IFERROR(I401+J401,0)</f>
        <v>0</v>
      </c>
      <c r="I401" s="384" t="n">
        <f aca="false">IFERROR(IF($D$3/$D$5&lt;K400,$D$3/$D$5,K400),0)</f>
        <v>0</v>
      </c>
      <c r="J401" s="384" t="n">
        <f aca="false">K400*$D$4/12/100</f>
        <v>0</v>
      </c>
      <c r="K401" s="387" t="n">
        <f aca="false">K400-I401-L401-M401</f>
        <v>0</v>
      </c>
      <c r="L401" s="388"/>
      <c r="M401" s="389"/>
      <c r="N401" s="409"/>
      <c r="O401" s="409"/>
      <c r="P401" s="391" t="n">
        <f aca="false">IF(ISBLANK(L400),VALUE(P400),ROW(L400))</f>
        <v>10</v>
      </c>
      <c r="Q401" s="314" t="n">
        <f aca="false">Q400+P400-P401</f>
        <v>12</v>
      </c>
      <c r="R401" s="314" t="n">
        <f aca="false">INDEX(G:G,P401,1)</f>
        <v>69000</v>
      </c>
      <c r="S401" s="312"/>
    </row>
    <row r="402" s="379" customFormat="true" ht="14.9" hidden="false" customHeight="false" outlineLevel="0" collapsed="false">
      <c r="A402" s="380" t="n">
        <v>392</v>
      </c>
      <c r="B402" s="381" t="str">
        <f aca="false">CONCATENATE(INT((A402-1)/12)+1,"-й год ",A402-1-INT((A402-1)/12)*12+1,"-й мес")</f>
        <v>33-й год 8-й мес</v>
      </c>
      <c r="C402" s="382" t="n">
        <f aca="false">DATE(YEAR(C401),MONTH(C401)+1,DAY(C401))</f>
        <v>55793</v>
      </c>
      <c r="D402" s="383" t="n">
        <f aca="false">IFERROR(IF(R402*$D$4/100/12/(1-(1+$D$4/100/12)^(-Q402))&lt;G401,ROUNDUP(R402*$D$4/100/12/(1-(1+$D$4/100/12)^(-Q402)),0),G401+F402),0)</f>
        <v>0</v>
      </c>
      <c r="E402" s="384" t="n">
        <f aca="false">D402-F402</f>
        <v>0</v>
      </c>
      <c r="F402" s="384" t="n">
        <f aca="false">G401*$D$4*(C402-C401)/(DATE(YEAR(C402)+1,1,1)-DATE(YEAR(C402),1,1))/100</f>
        <v>0</v>
      </c>
      <c r="G402" s="385" t="n">
        <f aca="false">G401-E402-L402-M402</f>
        <v>0</v>
      </c>
      <c r="H402" s="386" t="n">
        <f aca="false">IFERROR(I402+J402,0)</f>
        <v>0</v>
      </c>
      <c r="I402" s="384" t="n">
        <f aca="false">IFERROR(IF($D$3/$D$5&lt;K401,$D$3/$D$5,K401),0)</f>
        <v>0</v>
      </c>
      <c r="J402" s="384" t="n">
        <f aca="false">K401*$D$4/12/100</f>
        <v>0</v>
      </c>
      <c r="K402" s="387" t="n">
        <f aca="false">K401-I402-L402-M402</f>
        <v>0</v>
      </c>
      <c r="L402" s="388"/>
      <c r="M402" s="389"/>
      <c r="N402" s="409"/>
      <c r="O402" s="409"/>
      <c r="P402" s="391" t="n">
        <f aca="false">IF(ISBLANK(L401),VALUE(P401),ROW(L401))</f>
        <v>10</v>
      </c>
      <c r="Q402" s="314" t="n">
        <f aca="false">Q401+P401-P402</f>
        <v>12</v>
      </c>
      <c r="R402" s="314" t="n">
        <f aca="false">INDEX(G:G,P402,1)</f>
        <v>69000</v>
      </c>
      <c r="S402" s="312"/>
    </row>
    <row r="403" s="379" customFormat="true" ht="14.9" hidden="false" customHeight="false" outlineLevel="0" collapsed="false">
      <c r="A403" s="380" t="n">
        <v>393</v>
      </c>
      <c r="B403" s="381" t="str">
        <f aca="false">CONCATENATE(INT((A403-1)/12)+1,"-й год ",A403-1-INT((A403-1)/12)*12+1,"-й мес")</f>
        <v>33-й год 9-й мес</v>
      </c>
      <c r="C403" s="382" t="n">
        <f aca="false">DATE(YEAR(C402),MONTH(C402)+1,DAY(C402))</f>
        <v>55824</v>
      </c>
      <c r="D403" s="383" t="n">
        <f aca="false">IFERROR(IF(R403*$D$4/100/12/(1-(1+$D$4/100/12)^(-Q403))&lt;G402,ROUNDUP(R403*$D$4/100/12/(1-(1+$D$4/100/12)^(-Q403)),0),G402+F403),0)</f>
        <v>0</v>
      </c>
      <c r="E403" s="384" t="n">
        <f aca="false">D403-F403</f>
        <v>0</v>
      </c>
      <c r="F403" s="384" t="n">
        <f aca="false">G402*$D$4*(C403-C402)/(DATE(YEAR(C403)+1,1,1)-DATE(YEAR(C403),1,1))/100</f>
        <v>0</v>
      </c>
      <c r="G403" s="385" t="n">
        <f aca="false">G402-E403-L403-M403</f>
        <v>0</v>
      </c>
      <c r="H403" s="386" t="n">
        <f aca="false">IFERROR(I403+J403,0)</f>
        <v>0</v>
      </c>
      <c r="I403" s="384" t="n">
        <f aca="false">IFERROR(IF($D$3/$D$5&lt;K402,$D$3/$D$5,K402),0)</f>
        <v>0</v>
      </c>
      <c r="J403" s="384" t="n">
        <f aca="false">K402*$D$4/12/100</f>
        <v>0</v>
      </c>
      <c r="K403" s="387" t="n">
        <f aca="false">K402-I403-L403-M403</f>
        <v>0</v>
      </c>
      <c r="L403" s="388"/>
      <c r="M403" s="389"/>
      <c r="N403" s="409"/>
      <c r="O403" s="409"/>
      <c r="P403" s="391" t="n">
        <f aca="false">IF(ISBLANK(L402),VALUE(P402),ROW(L402))</f>
        <v>10</v>
      </c>
      <c r="Q403" s="314" t="n">
        <f aca="false">Q402+P402-P403</f>
        <v>12</v>
      </c>
      <c r="R403" s="314" t="n">
        <f aca="false">INDEX(G:G,P403,1)</f>
        <v>69000</v>
      </c>
      <c r="S403" s="312"/>
    </row>
    <row r="404" s="379" customFormat="true" ht="14.9" hidden="false" customHeight="false" outlineLevel="0" collapsed="false">
      <c r="A404" s="380" t="n">
        <v>394</v>
      </c>
      <c r="B404" s="381" t="str">
        <f aca="false">CONCATENATE(INT((A404-1)/12)+1,"-й год ",A404-1-INT((A404-1)/12)*12+1,"-й мес")</f>
        <v>33-й год 10-й мес</v>
      </c>
      <c r="C404" s="382" t="n">
        <f aca="false">DATE(YEAR(C403),MONTH(C403)+1,DAY(C403))</f>
        <v>55854</v>
      </c>
      <c r="D404" s="383" t="n">
        <f aca="false">IFERROR(IF(R404*$D$4/100/12/(1-(1+$D$4/100/12)^(-Q404))&lt;G403,ROUNDUP(R404*$D$4/100/12/(1-(1+$D$4/100/12)^(-Q404)),0),G403+F404),0)</f>
        <v>0</v>
      </c>
      <c r="E404" s="384" t="n">
        <f aca="false">D404-F404</f>
        <v>0</v>
      </c>
      <c r="F404" s="384" t="n">
        <f aca="false">G403*$D$4*(C404-C403)/(DATE(YEAR(C404)+1,1,1)-DATE(YEAR(C404),1,1))/100</f>
        <v>0</v>
      </c>
      <c r="G404" s="385" t="n">
        <f aca="false">G403-E404-L404-M404</f>
        <v>0</v>
      </c>
      <c r="H404" s="386" t="n">
        <f aca="false">IFERROR(I404+J404,0)</f>
        <v>0</v>
      </c>
      <c r="I404" s="384" t="n">
        <f aca="false">IFERROR(IF($D$3/$D$5&lt;K403,$D$3/$D$5,K403),0)</f>
        <v>0</v>
      </c>
      <c r="J404" s="384" t="n">
        <f aca="false">K403*$D$4/12/100</f>
        <v>0</v>
      </c>
      <c r="K404" s="387" t="n">
        <f aca="false">K403-I404-L404-M404</f>
        <v>0</v>
      </c>
      <c r="L404" s="388"/>
      <c r="M404" s="389"/>
      <c r="N404" s="409"/>
      <c r="O404" s="409"/>
      <c r="P404" s="391" t="n">
        <f aca="false">IF(ISBLANK(L403),VALUE(P403),ROW(L403))</f>
        <v>10</v>
      </c>
      <c r="Q404" s="314" t="n">
        <f aca="false">Q403+P403-P404</f>
        <v>12</v>
      </c>
      <c r="R404" s="314" t="n">
        <f aca="false">INDEX(G:G,P404,1)</f>
        <v>69000</v>
      </c>
      <c r="S404" s="312"/>
    </row>
    <row r="405" s="379" customFormat="true" ht="14.9" hidden="false" customHeight="false" outlineLevel="0" collapsed="false">
      <c r="A405" s="380" t="n">
        <v>395</v>
      </c>
      <c r="B405" s="381" t="str">
        <f aca="false">CONCATENATE(INT((A405-1)/12)+1,"-й год ",A405-1-INT((A405-1)/12)*12+1,"-й мес")</f>
        <v>33-й год 11-й мес</v>
      </c>
      <c r="C405" s="382" t="n">
        <f aca="false">DATE(YEAR(C404),MONTH(C404)+1,DAY(C404))</f>
        <v>55885</v>
      </c>
      <c r="D405" s="383" t="n">
        <f aca="false">IFERROR(IF(R405*$D$4/100/12/(1-(1+$D$4/100/12)^(-Q405))&lt;G404,ROUNDUP(R405*$D$4/100/12/(1-(1+$D$4/100/12)^(-Q405)),0),G404+F405),0)</f>
        <v>0</v>
      </c>
      <c r="E405" s="384" t="n">
        <f aca="false">D405-F405</f>
        <v>0</v>
      </c>
      <c r="F405" s="384" t="n">
        <f aca="false">G404*$D$4*(C405-C404)/(DATE(YEAR(C405)+1,1,1)-DATE(YEAR(C405),1,1))/100</f>
        <v>0</v>
      </c>
      <c r="G405" s="385" t="n">
        <f aca="false">G404-E405-L405-M405</f>
        <v>0</v>
      </c>
      <c r="H405" s="386" t="n">
        <f aca="false">IFERROR(I405+J405,0)</f>
        <v>0</v>
      </c>
      <c r="I405" s="384" t="n">
        <f aca="false">IFERROR(IF($D$3/$D$5&lt;K404,$D$3/$D$5,K404),0)</f>
        <v>0</v>
      </c>
      <c r="J405" s="384" t="n">
        <f aca="false">K404*$D$4/12/100</f>
        <v>0</v>
      </c>
      <c r="K405" s="387" t="n">
        <f aca="false">K404-I405-L405-M405</f>
        <v>0</v>
      </c>
      <c r="L405" s="388"/>
      <c r="M405" s="389"/>
      <c r="N405" s="409"/>
      <c r="O405" s="409"/>
      <c r="P405" s="391" t="n">
        <f aca="false">IF(ISBLANK(L404),VALUE(P404),ROW(L404))</f>
        <v>10</v>
      </c>
      <c r="Q405" s="314" t="n">
        <f aca="false">Q404+P404-P405</f>
        <v>12</v>
      </c>
      <c r="R405" s="314" t="n">
        <f aca="false">INDEX(G:G,P405,1)</f>
        <v>69000</v>
      </c>
      <c r="S405" s="312"/>
    </row>
    <row r="406" s="379" customFormat="true" ht="14.9" hidden="false" customHeight="false" outlineLevel="0" collapsed="false">
      <c r="A406" s="380" t="n">
        <v>396</v>
      </c>
      <c r="B406" s="392" t="str">
        <f aca="false">CONCATENATE(INT((A406-1)/12)+1,"-й год ",A406-1-INT((A406-1)/12)*12+1,"-й мес")</f>
        <v>33-й год 12-й мес</v>
      </c>
      <c r="C406" s="393" t="n">
        <f aca="false">DATE(YEAR(C405),MONTH(C405)+1,DAY(C405))</f>
        <v>55916</v>
      </c>
      <c r="D406" s="394" t="n">
        <f aca="false">IFERROR(IF(R406*$D$4/100/12/(1-(1+$D$4/100/12)^(-Q406))&lt;G405,ROUNDUP(R406*$D$4/100/12/(1-(1+$D$4/100/12)^(-Q406)),0),G405+F406),0)</f>
        <v>0</v>
      </c>
      <c r="E406" s="395" t="n">
        <f aca="false">D406-F406</f>
        <v>0</v>
      </c>
      <c r="F406" s="395" t="n">
        <f aca="false">G405*$D$4*(C406-C405)/(DATE(YEAR(C406)+1,1,1)-DATE(YEAR(C406),1,1))/100</f>
        <v>0</v>
      </c>
      <c r="G406" s="385" t="n">
        <f aca="false">G405-E406-L406-M406</f>
        <v>0</v>
      </c>
      <c r="H406" s="386" t="n">
        <f aca="false">IFERROR(I406+J406,0)</f>
        <v>0</v>
      </c>
      <c r="I406" s="384" t="n">
        <f aca="false">IFERROR(IF($D$3/$D$5&lt;K405,$D$3/$D$5,K405),0)</f>
        <v>0</v>
      </c>
      <c r="J406" s="384" t="n">
        <f aca="false">K405*$D$4/12/100</f>
        <v>0</v>
      </c>
      <c r="K406" s="387" t="n">
        <f aca="false">K405-I406-L406-M406</f>
        <v>0</v>
      </c>
      <c r="L406" s="388"/>
      <c r="M406" s="389"/>
      <c r="N406" s="409"/>
      <c r="O406" s="409"/>
      <c r="P406" s="391" t="n">
        <f aca="false">IF(ISBLANK(L405),VALUE(P405),ROW(L405))</f>
        <v>10</v>
      </c>
      <c r="Q406" s="314" t="n">
        <f aca="false">Q405+P405-P406</f>
        <v>12</v>
      </c>
      <c r="R406" s="314" t="n">
        <f aca="false">INDEX(G:G,P406,1)</f>
        <v>69000</v>
      </c>
      <c r="S406" s="312"/>
    </row>
    <row r="407" s="379" customFormat="true" ht="14.9" hidden="false" customHeight="false" outlineLevel="0" collapsed="false">
      <c r="A407" s="396" t="n">
        <v>397</v>
      </c>
      <c r="B407" s="381" t="str">
        <f aca="false">CONCATENATE(INT((A407-1)/12)+1,"-й год ",A407-1-INT((A407-1)/12)*12+1,"-й мес")</f>
        <v>34-й год 1-й мес</v>
      </c>
      <c r="C407" s="382" t="n">
        <f aca="false">DATE(YEAR(C406),MONTH(C406)+1,DAY(C406))</f>
        <v>55944</v>
      </c>
      <c r="D407" s="383" t="n">
        <f aca="false">IFERROR(IF(R407*$D$4/100/12/(1-(1+$D$4/100/12)^(-Q407))&lt;G406,ROUNDUP(R407*$D$4/100/12/(1-(1+$D$4/100/12)^(-Q407)),0),G406+F407),0)</f>
        <v>0</v>
      </c>
      <c r="E407" s="384" t="n">
        <f aca="false">D407-F407</f>
        <v>0</v>
      </c>
      <c r="F407" s="384" t="n">
        <f aca="false">G406*$D$4*(C407-C406)/(DATE(YEAR(C407)+1,1,1)-DATE(YEAR(C407),1,1))/100</f>
        <v>0</v>
      </c>
      <c r="G407" s="397" t="n">
        <f aca="false">G406-E407-L407-M407</f>
        <v>0</v>
      </c>
      <c r="H407" s="398" t="n">
        <f aca="false">IFERROR(I407+J407,0)</f>
        <v>0</v>
      </c>
      <c r="I407" s="399" t="n">
        <f aca="false">IFERROR(IF($D$3/$D$5&lt;K406,$D$3/$D$5,K406),0)</f>
        <v>0</v>
      </c>
      <c r="J407" s="399" t="n">
        <f aca="false">K406*$D$4/12/100</f>
        <v>0</v>
      </c>
      <c r="K407" s="400" t="n">
        <f aca="false">K406-I407-L407-M407</f>
        <v>0</v>
      </c>
      <c r="L407" s="401"/>
      <c r="M407" s="402"/>
      <c r="N407" s="409"/>
      <c r="O407" s="409"/>
      <c r="P407" s="391" t="n">
        <f aca="false">IF(ISBLANK(L406),VALUE(P406),ROW(L406))</f>
        <v>10</v>
      </c>
      <c r="Q407" s="314" t="n">
        <f aca="false">Q406+P406-P407</f>
        <v>12</v>
      </c>
      <c r="R407" s="314" t="n">
        <f aca="false">INDEX(G:G,P407,1)</f>
        <v>69000</v>
      </c>
      <c r="S407" s="312"/>
    </row>
    <row r="408" s="379" customFormat="true" ht="14.9" hidden="false" customHeight="false" outlineLevel="0" collapsed="false">
      <c r="A408" s="403" t="n">
        <v>398</v>
      </c>
      <c r="B408" s="381" t="str">
        <f aca="false">CONCATENATE(INT((A408-1)/12)+1,"-й год ",A408-1-INT((A408-1)/12)*12+1,"-й мес")</f>
        <v>34-й год 2-й мес</v>
      </c>
      <c r="C408" s="382" t="n">
        <f aca="false">DATE(YEAR(C407),MONTH(C407)+1,DAY(C407))</f>
        <v>55975</v>
      </c>
      <c r="D408" s="383" t="n">
        <f aca="false">IFERROR(IF(R408*$D$4/100/12/(1-(1+$D$4/100/12)^(-Q408))&lt;G407,ROUNDUP(R408*$D$4/100/12/(1-(1+$D$4/100/12)^(-Q408)),0),G407+F408),0)</f>
        <v>0</v>
      </c>
      <c r="E408" s="384" t="n">
        <f aca="false">D408-F408</f>
        <v>0</v>
      </c>
      <c r="F408" s="384" t="n">
        <f aca="false">G407*$D$4*(C408-C407)/(DATE(YEAR(C408)+1,1,1)-DATE(YEAR(C408),1,1))/100</f>
        <v>0</v>
      </c>
      <c r="G408" s="385" t="n">
        <f aca="false">G407-E408-L408-M408</f>
        <v>0</v>
      </c>
      <c r="H408" s="386" t="n">
        <f aca="false">IFERROR(I408+J408,0)</f>
        <v>0</v>
      </c>
      <c r="I408" s="384" t="n">
        <f aca="false">IFERROR(IF($D$3/$D$5&lt;K407,$D$3/$D$5,K407),0)</f>
        <v>0</v>
      </c>
      <c r="J408" s="384" t="n">
        <f aca="false">K407*$D$4/12/100</f>
        <v>0</v>
      </c>
      <c r="K408" s="387" t="n">
        <f aca="false">K407-I408-L408-M408</f>
        <v>0</v>
      </c>
      <c r="L408" s="388"/>
      <c r="M408" s="389"/>
      <c r="N408" s="409"/>
      <c r="O408" s="409"/>
      <c r="P408" s="391" t="n">
        <f aca="false">IF(ISBLANK(L407),VALUE(P407),ROW(L407))</f>
        <v>10</v>
      </c>
      <c r="Q408" s="314" t="n">
        <f aca="false">Q407+P407-P408</f>
        <v>12</v>
      </c>
      <c r="R408" s="314" t="n">
        <f aca="false">INDEX(G:G,P408,1)</f>
        <v>69000</v>
      </c>
      <c r="S408" s="312"/>
    </row>
    <row r="409" s="379" customFormat="true" ht="14.9" hidden="false" customHeight="false" outlineLevel="0" collapsed="false">
      <c r="A409" s="403" t="n">
        <v>399</v>
      </c>
      <c r="B409" s="381" t="str">
        <f aca="false">CONCATENATE(INT((A409-1)/12)+1,"-й год ",A409-1-INT((A409-1)/12)*12+1,"-й мес")</f>
        <v>34-й год 3-й мес</v>
      </c>
      <c r="C409" s="382" t="n">
        <f aca="false">DATE(YEAR(C408),MONTH(C408)+1,DAY(C408))</f>
        <v>56005</v>
      </c>
      <c r="D409" s="383" t="n">
        <f aca="false">IFERROR(IF(R409*$D$4/100/12/(1-(1+$D$4/100/12)^(-Q409))&lt;G408,ROUNDUP(R409*$D$4/100/12/(1-(1+$D$4/100/12)^(-Q409)),0),G408+F409),0)</f>
        <v>0</v>
      </c>
      <c r="E409" s="384" t="n">
        <f aca="false">D409-F409</f>
        <v>0</v>
      </c>
      <c r="F409" s="384" t="n">
        <f aca="false">G408*$D$4*(C409-C408)/(DATE(YEAR(C409)+1,1,1)-DATE(YEAR(C409),1,1))/100</f>
        <v>0</v>
      </c>
      <c r="G409" s="385" t="n">
        <f aca="false">G408-E409-L409-M409</f>
        <v>0</v>
      </c>
      <c r="H409" s="386" t="n">
        <f aca="false">IFERROR(I409+J409,0)</f>
        <v>0</v>
      </c>
      <c r="I409" s="384" t="n">
        <f aca="false">IFERROR(IF($D$3/$D$5&lt;K408,$D$3/$D$5,K408),0)</f>
        <v>0</v>
      </c>
      <c r="J409" s="384" t="n">
        <f aca="false">K408*$D$4/12/100</f>
        <v>0</v>
      </c>
      <c r="K409" s="387" t="n">
        <f aca="false">K408-I409-L409-M409</f>
        <v>0</v>
      </c>
      <c r="L409" s="388"/>
      <c r="M409" s="389"/>
      <c r="N409" s="409"/>
      <c r="O409" s="409"/>
      <c r="P409" s="391" t="n">
        <f aca="false">IF(ISBLANK(L408),VALUE(P408),ROW(L408))</f>
        <v>10</v>
      </c>
      <c r="Q409" s="314" t="n">
        <f aca="false">Q408+P408-P409</f>
        <v>12</v>
      </c>
      <c r="R409" s="314" t="n">
        <f aca="false">INDEX(G:G,P409,1)</f>
        <v>69000</v>
      </c>
      <c r="S409" s="312"/>
    </row>
    <row r="410" s="379" customFormat="true" ht="14.9" hidden="false" customHeight="false" outlineLevel="0" collapsed="false">
      <c r="A410" s="403" t="n">
        <v>400</v>
      </c>
      <c r="B410" s="381" t="str">
        <f aca="false">CONCATENATE(INT((A410-1)/12)+1,"-й год ",A410-1-INT((A410-1)/12)*12+1,"-й мес")</f>
        <v>34-й год 4-й мес</v>
      </c>
      <c r="C410" s="382" t="n">
        <f aca="false">DATE(YEAR(C409),MONTH(C409)+1,DAY(C409))</f>
        <v>56036</v>
      </c>
      <c r="D410" s="383" t="n">
        <f aca="false">IFERROR(IF(R410*$D$4/100/12/(1-(1+$D$4/100/12)^(-Q410))&lt;G409,ROUNDUP(R410*$D$4/100/12/(1-(1+$D$4/100/12)^(-Q410)),0),G409+F410),0)</f>
        <v>0</v>
      </c>
      <c r="E410" s="384" t="n">
        <f aca="false">D410-F410</f>
        <v>0</v>
      </c>
      <c r="F410" s="384" t="n">
        <f aca="false">G409*$D$4*(C410-C409)/(DATE(YEAR(C410)+1,1,1)-DATE(YEAR(C410),1,1))/100</f>
        <v>0</v>
      </c>
      <c r="G410" s="385" t="n">
        <f aca="false">G409-E410-L410-M410</f>
        <v>0</v>
      </c>
      <c r="H410" s="386" t="n">
        <f aca="false">IFERROR(I410+J410,0)</f>
        <v>0</v>
      </c>
      <c r="I410" s="384" t="n">
        <f aca="false">IFERROR(IF($D$3/$D$5&lt;K409,$D$3/$D$5,K409),0)</f>
        <v>0</v>
      </c>
      <c r="J410" s="384" t="n">
        <f aca="false">K409*$D$4/12/100</f>
        <v>0</v>
      </c>
      <c r="K410" s="387" t="n">
        <f aca="false">K409-I410-L410-M410</f>
        <v>0</v>
      </c>
      <c r="L410" s="388"/>
      <c r="M410" s="389"/>
      <c r="N410" s="409"/>
      <c r="O410" s="409"/>
      <c r="P410" s="391" t="n">
        <f aca="false">IF(ISBLANK(L409),VALUE(P409),ROW(L409))</f>
        <v>10</v>
      </c>
      <c r="Q410" s="314" t="n">
        <f aca="false">Q409+P409-P410</f>
        <v>12</v>
      </c>
      <c r="R410" s="314" t="n">
        <f aca="false">INDEX(G:G,P410,1)</f>
        <v>69000</v>
      </c>
      <c r="S410" s="312"/>
    </row>
    <row r="411" s="379" customFormat="true" ht="14.9" hidden="false" customHeight="false" outlineLevel="0" collapsed="false">
      <c r="A411" s="403" t="n">
        <v>401</v>
      </c>
      <c r="B411" s="381" t="str">
        <f aca="false">CONCATENATE(INT((A411-1)/12)+1,"-й год ",A411-1-INT((A411-1)/12)*12+1,"-й мес")</f>
        <v>34-й год 5-й мес</v>
      </c>
      <c r="C411" s="382" t="n">
        <f aca="false">DATE(YEAR(C410),MONTH(C410)+1,DAY(C410))</f>
        <v>56066</v>
      </c>
      <c r="D411" s="383" t="n">
        <f aca="false">IFERROR(IF(R411*$D$4/100/12/(1-(1+$D$4/100/12)^(-Q411))&lt;G410,ROUNDUP(R411*$D$4/100/12/(1-(1+$D$4/100/12)^(-Q411)),0),G410+F411),0)</f>
        <v>0</v>
      </c>
      <c r="E411" s="384" t="n">
        <f aca="false">D411-F411</f>
        <v>0</v>
      </c>
      <c r="F411" s="384" t="n">
        <f aca="false">G410*$D$4*(C411-C410)/(DATE(YEAR(C411)+1,1,1)-DATE(YEAR(C411),1,1))/100</f>
        <v>0</v>
      </c>
      <c r="G411" s="385" t="n">
        <f aca="false">G410-E411-L411-M411</f>
        <v>0</v>
      </c>
      <c r="H411" s="386" t="n">
        <f aca="false">IFERROR(I411+J411,0)</f>
        <v>0</v>
      </c>
      <c r="I411" s="384" t="n">
        <f aca="false">IFERROR(IF($D$3/$D$5&lt;K410,$D$3/$D$5,K410),0)</f>
        <v>0</v>
      </c>
      <c r="J411" s="384" t="n">
        <f aca="false">K410*$D$4/12/100</f>
        <v>0</v>
      </c>
      <c r="K411" s="387" t="n">
        <f aca="false">K410-I411-L411-M411</f>
        <v>0</v>
      </c>
      <c r="L411" s="388"/>
      <c r="M411" s="389"/>
      <c r="N411" s="409"/>
      <c r="O411" s="409"/>
      <c r="P411" s="391" t="n">
        <f aca="false">IF(ISBLANK(L410),VALUE(P410),ROW(L410))</f>
        <v>10</v>
      </c>
      <c r="Q411" s="314" t="n">
        <f aca="false">Q410+P410-P411</f>
        <v>12</v>
      </c>
      <c r="R411" s="314" t="n">
        <f aca="false">INDEX(G:G,P411,1)</f>
        <v>69000</v>
      </c>
      <c r="S411" s="312"/>
    </row>
    <row r="412" s="379" customFormat="true" ht="14.9" hidden="false" customHeight="false" outlineLevel="0" collapsed="false">
      <c r="A412" s="403" t="n">
        <v>402</v>
      </c>
      <c r="B412" s="381" t="str">
        <f aca="false">CONCATENATE(INT((A412-1)/12)+1,"-й год ",A412-1-INT((A412-1)/12)*12+1,"-й мес")</f>
        <v>34-й год 6-й мес</v>
      </c>
      <c r="C412" s="382" t="n">
        <f aca="false">DATE(YEAR(C411),MONTH(C411)+1,DAY(C411))</f>
        <v>56097</v>
      </c>
      <c r="D412" s="383" t="n">
        <f aca="false">IFERROR(IF(R412*$D$4/100/12/(1-(1+$D$4/100/12)^(-Q412))&lt;G411,ROUNDUP(R412*$D$4/100/12/(1-(1+$D$4/100/12)^(-Q412)),0),G411+F412),0)</f>
        <v>0</v>
      </c>
      <c r="E412" s="384" t="n">
        <f aca="false">D412-F412</f>
        <v>0</v>
      </c>
      <c r="F412" s="384" t="n">
        <f aca="false">G411*$D$4*(C412-C411)/(DATE(YEAR(C412)+1,1,1)-DATE(YEAR(C412),1,1))/100</f>
        <v>0</v>
      </c>
      <c r="G412" s="385" t="n">
        <f aca="false">G411-E412-L412-M412</f>
        <v>0</v>
      </c>
      <c r="H412" s="386" t="n">
        <f aca="false">IFERROR(I412+J412,0)</f>
        <v>0</v>
      </c>
      <c r="I412" s="384" t="n">
        <f aca="false">IFERROR(IF($D$3/$D$5&lt;K411,$D$3/$D$5,K411),0)</f>
        <v>0</v>
      </c>
      <c r="J412" s="384" t="n">
        <f aca="false">K411*$D$4/12/100</f>
        <v>0</v>
      </c>
      <c r="K412" s="387" t="n">
        <f aca="false">K411-I412-L412-M412</f>
        <v>0</v>
      </c>
      <c r="L412" s="388"/>
      <c r="M412" s="389"/>
      <c r="N412" s="409"/>
      <c r="O412" s="409"/>
      <c r="P412" s="391" t="n">
        <f aca="false">IF(ISBLANK(L411),VALUE(P411),ROW(L411))</f>
        <v>10</v>
      </c>
      <c r="Q412" s="314" t="n">
        <f aca="false">Q411+P411-P412</f>
        <v>12</v>
      </c>
      <c r="R412" s="314" t="n">
        <f aca="false">INDEX(G:G,P412,1)</f>
        <v>69000</v>
      </c>
      <c r="S412" s="312"/>
    </row>
    <row r="413" s="379" customFormat="true" ht="14.9" hidden="false" customHeight="false" outlineLevel="0" collapsed="false">
      <c r="A413" s="403" t="n">
        <v>403</v>
      </c>
      <c r="B413" s="381" t="str">
        <f aca="false">CONCATENATE(INT((A413-1)/12)+1,"-й год ",A413-1-INT((A413-1)/12)*12+1,"-й мес")</f>
        <v>34-й год 7-й мес</v>
      </c>
      <c r="C413" s="382" t="n">
        <f aca="false">DATE(YEAR(C412),MONTH(C412)+1,DAY(C412))</f>
        <v>56128</v>
      </c>
      <c r="D413" s="383" t="n">
        <f aca="false">IFERROR(IF(R413*$D$4/100/12/(1-(1+$D$4/100/12)^(-Q413))&lt;G412,ROUNDUP(R413*$D$4/100/12/(1-(1+$D$4/100/12)^(-Q413)),0),G412+F413),0)</f>
        <v>0</v>
      </c>
      <c r="E413" s="384" t="n">
        <f aca="false">D413-F413</f>
        <v>0</v>
      </c>
      <c r="F413" s="384" t="n">
        <f aca="false">G412*$D$4*(C413-C412)/(DATE(YEAR(C413)+1,1,1)-DATE(YEAR(C413),1,1))/100</f>
        <v>0</v>
      </c>
      <c r="G413" s="385" t="n">
        <f aca="false">G412-E413-L413-M413</f>
        <v>0</v>
      </c>
      <c r="H413" s="386" t="n">
        <f aca="false">IFERROR(I413+J413,0)</f>
        <v>0</v>
      </c>
      <c r="I413" s="384" t="n">
        <f aca="false">IFERROR(IF($D$3/$D$5&lt;K412,$D$3/$D$5,K412),0)</f>
        <v>0</v>
      </c>
      <c r="J413" s="384" t="n">
        <f aca="false">K412*$D$4/12/100</f>
        <v>0</v>
      </c>
      <c r="K413" s="387" t="n">
        <f aca="false">K412-I413-L413-M413</f>
        <v>0</v>
      </c>
      <c r="L413" s="388"/>
      <c r="M413" s="389"/>
      <c r="N413" s="409"/>
      <c r="O413" s="409"/>
      <c r="P413" s="391" t="n">
        <f aca="false">IF(ISBLANK(L412),VALUE(P412),ROW(L412))</f>
        <v>10</v>
      </c>
      <c r="Q413" s="314" t="n">
        <f aca="false">Q412+P412-P413</f>
        <v>12</v>
      </c>
      <c r="R413" s="314" t="n">
        <f aca="false">INDEX(G:G,P413,1)</f>
        <v>69000</v>
      </c>
      <c r="S413" s="312"/>
    </row>
    <row r="414" s="379" customFormat="true" ht="14.9" hidden="false" customHeight="false" outlineLevel="0" collapsed="false">
      <c r="A414" s="403" t="n">
        <v>404</v>
      </c>
      <c r="B414" s="381" t="str">
        <f aca="false">CONCATENATE(INT((A414-1)/12)+1,"-й год ",A414-1-INT((A414-1)/12)*12+1,"-й мес")</f>
        <v>34-й год 8-й мес</v>
      </c>
      <c r="C414" s="382" t="n">
        <f aca="false">DATE(YEAR(C413),MONTH(C413)+1,DAY(C413))</f>
        <v>56158</v>
      </c>
      <c r="D414" s="383" t="n">
        <f aca="false">IFERROR(IF(R414*$D$4/100/12/(1-(1+$D$4/100/12)^(-Q414))&lt;G413,ROUNDUP(R414*$D$4/100/12/(1-(1+$D$4/100/12)^(-Q414)),0),G413+F414),0)</f>
        <v>0</v>
      </c>
      <c r="E414" s="384" t="n">
        <f aca="false">D414-F414</f>
        <v>0</v>
      </c>
      <c r="F414" s="384" t="n">
        <f aca="false">G413*$D$4*(C414-C413)/(DATE(YEAR(C414)+1,1,1)-DATE(YEAR(C414),1,1))/100</f>
        <v>0</v>
      </c>
      <c r="G414" s="385" t="n">
        <f aca="false">G413-E414-L414-M414</f>
        <v>0</v>
      </c>
      <c r="H414" s="386" t="n">
        <f aca="false">IFERROR(I414+J414,0)</f>
        <v>0</v>
      </c>
      <c r="I414" s="384" t="n">
        <f aca="false">IFERROR(IF($D$3/$D$5&lt;K413,$D$3/$D$5,K413),0)</f>
        <v>0</v>
      </c>
      <c r="J414" s="384" t="n">
        <f aca="false">K413*$D$4/12/100</f>
        <v>0</v>
      </c>
      <c r="K414" s="387" t="n">
        <f aca="false">K413-I414-L414-M414</f>
        <v>0</v>
      </c>
      <c r="L414" s="388"/>
      <c r="M414" s="389"/>
      <c r="N414" s="409"/>
      <c r="O414" s="409"/>
      <c r="P414" s="391" t="n">
        <f aca="false">IF(ISBLANK(L413),VALUE(P413),ROW(L413))</f>
        <v>10</v>
      </c>
      <c r="Q414" s="314" t="n">
        <f aca="false">Q413+P413-P414</f>
        <v>12</v>
      </c>
      <c r="R414" s="314" t="n">
        <f aca="false">INDEX(G:G,P414,1)</f>
        <v>69000</v>
      </c>
      <c r="S414" s="312"/>
    </row>
    <row r="415" s="379" customFormat="true" ht="14.9" hidden="false" customHeight="false" outlineLevel="0" collapsed="false">
      <c r="A415" s="403" t="n">
        <v>405</v>
      </c>
      <c r="B415" s="381" t="str">
        <f aca="false">CONCATENATE(INT((A415-1)/12)+1,"-й год ",A415-1-INT((A415-1)/12)*12+1,"-й мес")</f>
        <v>34-й год 9-й мес</v>
      </c>
      <c r="C415" s="382" t="n">
        <f aca="false">DATE(YEAR(C414),MONTH(C414)+1,DAY(C414))</f>
        <v>56189</v>
      </c>
      <c r="D415" s="383" t="n">
        <f aca="false">IFERROR(IF(R415*$D$4/100/12/(1-(1+$D$4/100/12)^(-Q415))&lt;G414,ROUNDUP(R415*$D$4/100/12/(1-(1+$D$4/100/12)^(-Q415)),0),G414+F415),0)</f>
        <v>0</v>
      </c>
      <c r="E415" s="384" t="n">
        <f aca="false">D415-F415</f>
        <v>0</v>
      </c>
      <c r="F415" s="384" t="n">
        <f aca="false">G414*$D$4*(C415-C414)/(DATE(YEAR(C415)+1,1,1)-DATE(YEAR(C415),1,1))/100</f>
        <v>0</v>
      </c>
      <c r="G415" s="385" t="n">
        <f aca="false">G414-E415-L415-M415</f>
        <v>0</v>
      </c>
      <c r="H415" s="386" t="n">
        <f aca="false">IFERROR(I415+J415,0)</f>
        <v>0</v>
      </c>
      <c r="I415" s="384" t="n">
        <f aca="false">IFERROR(IF($D$3/$D$5&lt;K414,$D$3/$D$5,K414),0)</f>
        <v>0</v>
      </c>
      <c r="J415" s="384" t="n">
        <f aca="false">K414*$D$4/12/100</f>
        <v>0</v>
      </c>
      <c r="K415" s="387" t="n">
        <f aca="false">K414-I415-L415-M415</f>
        <v>0</v>
      </c>
      <c r="L415" s="388"/>
      <c r="M415" s="389"/>
      <c r="N415" s="409"/>
      <c r="O415" s="409"/>
      <c r="P415" s="391" t="n">
        <f aca="false">IF(ISBLANK(L414),VALUE(P414),ROW(L414))</f>
        <v>10</v>
      </c>
      <c r="Q415" s="314" t="n">
        <f aca="false">Q414+P414-P415</f>
        <v>12</v>
      </c>
      <c r="R415" s="314" t="n">
        <f aca="false">INDEX(G:G,P415,1)</f>
        <v>69000</v>
      </c>
      <c r="S415" s="312"/>
    </row>
    <row r="416" s="379" customFormat="true" ht="14.9" hidden="false" customHeight="false" outlineLevel="0" collapsed="false">
      <c r="A416" s="403" t="n">
        <v>406</v>
      </c>
      <c r="B416" s="381" t="str">
        <f aca="false">CONCATENATE(INT((A416-1)/12)+1,"-й год ",A416-1-INT((A416-1)/12)*12+1,"-й мес")</f>
        <v>34-й год 10-й мес</v>
      </c>
      <c r="C416" s="382" t="n">
        <f aca="false">DATE(YEAR(C415),MONTH(C415)+1,DAY(C415))</f>
        <v>56219</v>
      </c>
      <c r="D416" s="383" t="n">
        <f aca="false">IFERROR(IF(R416*$D$4/100/12/(1-(1+$D$4/100/12)^(-Q416))&lt;G415,ROUNDUP(R416*$D$4/100/12/(1-(1+$D$4/100/12)^(-Q416)),0),G415+F416),0)</f>
        <v>0</v>
      </c>
      <c r="E416" s="384" t="n">
        <f aca="false">D416-F416</f>
        <v>0</v>
      </c>
      <c r="F416" s="384" t="n">
        <f aca="false">G415*$D$4*(C416-C415)/(DATE(YEAR(C416)+1,1,1)-DATE(YEAR(C416),1,1))/100</f>
        <v>0</v>
      </c>
      <c r="G416" s="385" t="n">
        <f aca="false">G415-E416-L416-M416</f>
        <v>0</v>
      </c>
      <c r="H416" s="386" t="n">
        <f aca="false">IFERROR(I416+J416,0)</f>
        <v>0</v>
      </c>
      <c r="I416" s="384" t="n">
        <f aca="false">IFERROR(IF($D$3/$D$5&lt;K415,$D$3/$D$5,K415),0)</f>
        <v>0</v>
      </c>
      <c r="J416" s="384" t="n">
        <f aca="false">K415*$D$4/12/100</f>
        <v>0</v>
      </c>
      <c r="K416" s="387" t="n">
        <f aca="false">K415-I416-L416-M416</f>
        <v>0</v>
      </c>
      <c r="L416" s="388"/>
      <c r="M416" s="389"/>
      <c r="N416" s="409"/>
      <c r="O416" s="409"/>
      <c r="P416" s="391" t="n">
        <f aca="false">IF(ISBLANK(L415),VALUE(P415),ROW(L415))</f>
        <v>10</v>
      </c>
      <c r="Q416" s="314" t="n">
        <f aca="false">Q415+P415-P416</f>
        <v>12</v>
      </c>
      <c r="R416" s="314" t="n">
        <f aca="false">INDEX(G:G,P416,1)</f>
        <v>69000</v>
      </c>
      <c r="S416" s="312"/>
    </row>
    <row r="417" s="379" customFormat="true" ht="14.9" hidden="false" customHeight="false" outlineLevel="0" collapsed="false">
      <c r="A417" s="403" t="n">
        <v>407</v>
      </c>
      <c r="B417" s="381" t="str">
        <f aca="false">CONCATENATE(INT((A417-1)/12)+1,"-й год ",A417-1-INT((A417-1)/12)*12+1,"-й мес")</f>
        <v>34-й год 11-й мес</v>
      </c>
      <c r="C417" s="382" t="n">
        <f aca="false">DATE(YEAR(C416),MONTH(C416)+1,DAY(C416))</f>
        <v>56250</v>
      </c>
      <c r="D417" s="383" t="n">
        <f aca="false">IFERROR(IF(R417*$D$4/100/12/(1-(1+$D$4/100/12)^(-Q417))&lt;G416,ROUNDUP(R417*$D$4/100/12/(1-(1+$D$4/100/12)^(-Q417)),0),G416+F417),0)</f>
        <v>0</v>
      </c>
      <c r="E417" s="384" t="n">
        <f aca="false">D417-F417</f>
        <v>0</v>
      </c>
      <c r="F417" s="384" t="n">
        <f aca="false">G416*$D$4*(C417-C416)/(DATE(YEAR(C417)+1,1,1)-DATE(YEAR(C417),1,1))/100</f>
        <v>0</v>
      </c>
      <c r="G417" s="385" t="n">
        <f aca="false">G416-E417-L417-M417</f>
        <v>0</v>
      </c>
      <c r="H417" s="386" t="n">
        <f aca="false">IFERROR(I417+J417,0)</f>
        <v>0</v>
      </c>
      <c r="I417" s="384" t="n">
        <f aca="false">IFERROR(IF($D$3/$D$5&lt;K416,$D$3/$D$5,K416),0)</f>
        <v>0</v>
      </c>
      <c r="J417" s="384" t="n">
        <f aca="false">K416*$D$4/12/100</f>
        <v>0</v>
      </c>
      <c r="K417" s="387" t="n">
        <f aca="false">K416-I417-L417-M417</f>
        <v>0</v>
      </c>
      <c r="L417" s="388"/>
      <c r="M417" s="389"/>
      <c r="N417" s="409"/>
      <c r="O417" s="409"/>
      <c r="P417" s="391" t="n">
        <f aca="false">IF(ISBLANK(L416),VALUE(P416),ROW(L416))</f>
        <v>10</v>
      </c>
      <c r="Q417" s="314" t="n">
        <f aca="false">Q416+P416-P417</f>
        <v>12</v>
      </c>
      <c r="R417" s="314" t="n">
        <f aca="false">INDEX(G:G,P417,1)</f>
        <v>69000</v>
      </c>
      <c r="S417" s="312"/>
    </row>
    <row r="418" s="379" customFormat="true" ht="14.9" hidden="false" customHeight="false" outlineLevel="0" collapsed="false">
      <c r="A418" s="404" t="n">
        <v>408</v>
      </c>
      <c r="B418" s="392" t="str">
        <f aca="false">CONCATENATE(INT((A418-1)/12)+1,"-й год ",A418-1-INT((A418-1)/12)*12+1,"-й мес")</f>
        <v>34-й год 12-й мес</v>
      </c>
      <c r="C418" s="393" t="n">
        <f aca="false">DATE(YEAR(C417),MONTH(C417)+1,DAY(C417))</f>
        <v>56281</v>
      </c>
      <c r="D418" s="394" t="n">
        <f aca="false">IFERROR(IF(R418*$D$4/100/12/(1-(1+$D$4/100/12)^(-Q418))&lt;G417,ROUNDUP(R418*$D$4/100/12/(1-(1+$D$4/100/12)^(-Q418)),0),G417+F418),0)</f>
        <v>0</v>
      </c>
      <c r="E418" s="395" t="n">
        <f aca="false">D418-F418</f>
        <v>0</v>
      </c>
      <c r="F418" s="395" t="n">
        <f aca="false">G417*$D$4*(C418-C417)/(DATE(YEAR(C418)+1,1,1)-DATE(YEAR(C418),1,1))/100</f>
        <v>0</v>
      </c>
      <c r="G418" s="405" t="n">
        <f aca="false">G417-E418-L418-M418</f>
        <v>0</v>
      </c>
      <c r="H418" s="406" t="n">
        <f aca="false">IFERROR(I418+J418,0)</f>
        <v>0</v>
      </c>
      <c r="I418" s="395" t="n">
        <f aca="false">IFERROR(IF($D$3/$D$5&lt;K417,$D$3/$D$5,K417),0)</f>
        <v>0</v>
      </c>
      <c r="J418" s="395" t="n">
        <f aca="false">K417*$D$4/12/100</f>
        <v>0</v>
      </c>
      <c r="K418" s="407" t="n">
        <f aca="false">K417-I418-L418-M418</f>
        <v>0</v>
      </c>
      <c r="L418" s="408"/>
      <c r="M418" s="410"/>
      <c r="N418" s="409"/>
      <c r="O418" s="409"/>
      <c r="P418" s="391" t="n">
        <f aca="false">IF(ISBLANK(L417),VALUE(P417),ROW(L417))</f>
        <v>10</v>
      </c>
      <c r="Q418" s="314" t="n">
        <f aca="false">Q417+P417-P418</f>
        <v>12</v>
      </c>
      <c r="R418" s="314" t="n">
        <f aca="false">INDEX(G:G,P418,1)</f>
        <v>69000</v>
      </c>
      <c r="S418" s="312"/>
    </row>
    <row r="419" s="379" customFormat="true" ht="14.9" hidden="false" customHeight="false" outlineLevel="0" collapsed="false">
      <c r="A419" s="380" t="n">
        <v>409</v>
      </c>
      <c r="B419" s="381" t="str">
        <f aca="false">CONCATENATE(INT((A419-1)/12)+1,"-й год ",A419-1-INT((A419-1)/12)*12+1,"-й мес")</f>
        <v>35-й год 1-й мес</v>
      </c>
      <c r="C419" s="382" t="n">
        <f aca="false">DATE(YEAR(C418),MONTH(C418)+1,DAY(C418))</f>
        <v>56309</v>
      </c>
      <c r="D419" s="383" t="n">
        <f aca="false">IFERROR(IF(R419*$D$4/100/12/(1-(1+$D$4/100/12)^(-Q419))&lt;G418,ROUNDUP(R419*$D$4/100/12/(1-(1+$D$4/100/12)^(-Q419)),0),G418+F419),0)</f>
        <v>0</v>
      </c>
      <c r="E419" s="384" t="n">
        <f aca="false">D419-F419</f>
        <v>0</v>
      </c>
      <c r="F419" s="384" t="n">
        <f aca="false">G418*$D$4*(C419-C418)/(DATE(YEAR(C419)+1,1,1)-DATE(YEAR(C419),1,1))/100</f>
        <v>0</v>
      </c>
      <c r="G419" s="385" t="n">
        <f aca="false">G418-E419-L419-M419</f>
        <v>0</v>
      </c>
      <c r="H419" s="386" t="n">
        <f aca="false">IFERROR(I419+J419,0)</f>
        <v>0</v>
      </c>
      <c r="I419" s="384" t="n">
        <f aca="false">IFERROR(IF($D$3/$D$5&lt;K418,$D$3/$D$5,K418),0)</f>
        <v>0</v>
      </c>
      <c r="J419" s="384" t="n">
        <f aca="false">K418*$D$4/12/100</f>
        <v>0</v>
      </c>
      <c r="K419" s="387" t="n">
        <f aca="false">K418-I419-L419-M419</f>
        <v>0</v>
      </c>
      <c r="L419" s="388"/>
      <c r="M419" s="389"/>
      <c r="N419" s="409"/>
      <c r="O419" s="409"/>
      <c r="P419" s="391" t="n">
        <f aca="false">IF(ISBLANK(L418),VALUE(P418),ROW(L418))</f>
        <v>10</v>
      </c>
      <c r="Q419" s="314" t="n">
        <f aca="false">Q418+P418-P419</f>
        <v>12</v>
      </c>
      <c r="R419" s="314" t="n">
        <f aca="false">INDEX(G:G,P419,1)</f>
        <v>69000</v>
      </c>
      <c r="S419" s="312"/>
    </row>
    <row r="420" s="379" customFormat="true" ht="14.9" hidden="false" customHeight="false" outlineLevel="0" collapsed="false">
      <c r="A420" s="380" t="n">
        <v>410</v>
      </c>
      <c r="B420" s="381" t="str">
        <f aca="false">CONCATENATE(INT((A420-1)/12)+1,"-й год ",A420-1-INT((A420-1)/12)*12+1,"-й мес")</f>
        <v>35-й год 2-й мес</v>
      </c>
      <c r="C420" s="382" t="n">
        <f aca="false">DATE(YEAR(C419),MONTH(C419)+1,DAY(C419))</f>
        <v>56340</v>
      </c>
      <c r="D420" s="383" t="n">
        <f aca="false">IFERROR(IF(R420*$D$4/100/12/(1-(1+$D$4/100/12)^(-Q420))&lt;G419,ROUNDUP(R420*$D$4/100/12/(1-(1+$D$4/100/12)^(-Q420)),0),G419+F420),0)</f>
        <v>0</v>
      </c>
      <c r="E420" s="384" t="n">
        <f aca="false">D420-F420</f>
        <v>0</v>
      </c>
      <c r="F420" s="384" t="n">
        <f aca="false">G419*$D$4*(C420-C419)/(DATE(YEAR(C420)+1,1,1)-DATE(YEAR(C420),1,1))/100</f>
        <v>0</v>
      </c>
      <c r="G420" s="385" t="n">
        <f aca="false">G419-E420-L420-M420</f>
        <v>0</v>
      </c>
      <c r="H420" s="386" t="n">
        <f aca="false">IFERROR(I420+J420,0)</f>
        <v>0</v>
      </c>
      <c r="I420" s="384" t="n">
        <f aca="false">IFERROR(IF($D$3/$D$5&lt;K419,$D$3/$D$5,K419),0)</f>
        <v>0</v>
      </c>
      <c r="J420" s="384" t="n">
        <f aca="false">K419*$D$4/12/100</f>
        <v>0</v>
      </c>
      <c r="K420" s="387" t="n">
        <f aca="false">K419-I420-L420-M420</f>
        <v>0</v>
      </c>
      <c r="L420" s="388"/>
      <c r="M420" s="389"/>
      <c r="N420" s="409"/>
      <c r="O420" s="409"/>
      <c r="P420" s="391" t="n">
        <f aca="false">IF(ISBLANK(L419),VALUE(P419),ROW(L419))</f>
        <v>10</v>
      </c>
      <c r="Q420" s="314" t="n">
        <f aca="false">Q419+P419-P420</f>
        <v>12</v>
      </c>
      <c r="R420" s="314" t="n">
        <f aca="false">INDEX(G:G,P420,1)</f>
        <v>69000</v>
      </c>
      <c r="S420" s="312"/>
    </row>
    <row r="421" s="379" customFormat="true" ht="14.9" hidden="false" customHeight="false" outlineLevel="0" collapsed="false">
      <c r="A421" s="380" t="n">
        <v>411</v>
      </c>
      <c r="B421" s="381" t="str">
        <f aca="false">CONCATENATE(INT((A421-1)/12)+1,"-й год ",A421-1-INT((A421-1)/12)*12+1,"-й мес")</f>
        <v>35-й год 3-й мес</v>
      </c>
      <c r="C421" s="382" t="n">
        <f aca="false">DATE(YEAR(C420),MONTH(C420)+1,DAY(C420))</f>
        <v>56370</v>
      </c>
      <c r="D421" s="383" t="n">
        <f aca="false">IFERROR(IF(R421*$D$4/100/12/(1-(1+$D$4/100/12)^(-Q421))&lt;G420,ROUNDUP(R421*$D$4/100/12/(1-(1+$D$4/100/12)^(-Q421)),0),G420+F421),0)</f>
        <v>0</v>
      </c>
      <c r="E421" s="384" t="n">
        <f aca="false">D421-F421</f>
        <v>0</v>
      </c>
      <c r="F421" s="384" t="n">
        <f aca="false">G420*$D$4*(C421-C420)/(DATE(YEAR(C421)+1,1,1)-DATE(YEAR(C421),1,1))/100</f>
        <v>0</v>
      </c>
      <c r="G421" s="385" t="n">
        <f aca="false">G420-E421-L421-M421</f>
        <v>0</v>
      </c>
      <c r="H421" s="386" t="n">
        <f aca="false">IFERROR(I421+J421,0)</f>
        <v>0</v>
      </c>
      <c r="I421" s="384" t="n">
        <f aca="false">IFERROR(IF($D$3/$D$5&lt;K420,$D$3/$D$5,K420),0)</f>
        <v>0</v>
      </c>
      <c r="J421" s="384" t="n">
        <f aca="false">K420*$D$4/12/100</f>
        <v>0</v>
      </c>
      <c r="K421" s="387" t="n">
        <f aca="false">K420-I421-L421-M421</f>
        <v>0</v>
      </c>
      <c r="L421" s="388"/>
      <c r="M421" s="389"/>
      <c r="N421" s="409"/>
      <c r="O421" s="409"/>
      <c r="P421" s="391" t="n">
        <f aca="false">IF(ISBLANK(L420),VALUE(P420),ROW(L420))</f>
        <v>10</v>
      </c>
      <c r="Q421" s="314" t="n">
        <f aca="false">Q420+P420-P421</f>
        <v>12</v>
      </c>
      <c r="R421" s="314" t="n">
        <f aca="false">INDEX(G:G,P421,1)</f>
        <v>69000</v>
      </c>
      <c r="S421" s="312"/>
    </row>
    <row r="422" s="379" customFormat="true" ht="14.9" hidden="false" customHeight="false" outlineLevel="0" collapsed="false">
      <c r="A422" s="380" t="n">
        <v>412</v>
      </c>
      <c r="B422" s="381" t="str">
        <f aca="false">CONCATENATE(INT((A422-1)/12)+1,"-й год ",A422-1-INT((A422-1)/12)*12+1,"-й мес")</f>
        <v>35-й год 4-й мес</v>
      </c>
      <c r="C422" s="382" t="n">
        <f aca="false">DATE(YEAR(C421),MONTH(C421)+1,DAY(C421))</f>
        <v>56401</v>
      </c>
      <c r="D422" s="383" t="n">
        <f aca="false">IFERROR(IF(R422*$D$4/100/12/(1-(1+$D$4/100/12)^(-Q422))&lt;G421,ROUNDUP(R422*$D$4/100/12/(1-(1+$D$4/100/12)^(-Q422)),0),G421+F422),0)</f>
        <v>0</v>
      </c>
      <c r="E422" s="384" t="n">
        <f aca="false">D422-F422</f>
        <v>0</v>
      </c>
      <c r="F422" s="384" t="n">
        <f aca="false">G421*$D$4*(C422-C421)/(DATE(YEAR(C422)+1,1,1)-DATE(YEAR(C422),1,1))/100</f>
        <v>0</v>
      </c>
      <c r="G422" s="385" t="n">
        <f aca="false">G421-E422-L422-M422</f>
        <v>0</v>
      </c>
      <c r="H422" s="386" t="n">
        <f aca="false">IFERROR(I422+J422,0)</f>
        <v>0</v>
      </c>
      <c r="I422" s="384" t="n">
        <f aca="false">IFERROR(IF($D$3/$D$5&lt;K421,$D$3/$D$5,K421),0)</f>
        <v>0</v>
      </c>
      <c r="J422" s="384" t="n">
        <f aca="false">K421*$D$4/12/100</f>
        <v>0</v>
      </c>
      <c r="K422" s="387" t="n">
        <f aca="false">K421-I422-L422-M422</f>
        <v>0</v>
      </c>
      <c r="L422" s="388"/>
      <c r="M422" s="389"/>
      <c r="N422" s="409"/>
      <c r="O422" s="409"/>
      <c r="P422" s="391" t="n">
        <f aca="false">IF(ISBLANK(L421),VALUE(P421),ROW(L421))</f>
        <v>10</v>
      </c>
      <c r="Q422" s="314" t="n">
        <f aca="false">Q421+P421-P422</f>
        <v>12</v>
      </c>
      <c r="R422" s="314" t="n">
        <f aca="false">INDEX(G:G,P422,1)</f>
        <v>69000</v>
      </c>
      <c r="S422" s="312"/>
    </row>
    <row r="423" s="379" customFormat="true" ht="14.9" hidden="false" customHeight="false" outlineLevel="0" collapsed="false">
      <c r="A423" s="380" t="n">
        <v>413</v>
      </c>
      <c r="B423" s="381" t="str">
        <f aca="false">CONCATENATE(INT((A423-1)/12)+1,"-й год ",A423-1-INT((A423-1)/12)*12+1,"-й мес")</f>
        <v>35-й год 5-й мес</v>
      </c>
      <c r="C423" s="382" t="n">
        <f aca="false">DATE(YEAR(C422),MONTH(C422)+1,DAY(C422))</f>
        <v>56431</v>
      </c>
      <c r="D423" s="383" t="n">
        <f aca="false">IFERROR(IF(R423*$D$4/100/12/(1-(1+$D$4/100/12)^(-Q423))&lt;G422,ROUNDUP(R423*$D$4/100/12/(1-(1+$D$4/100/12)^(-Q423)),0),G422+F423),0)</f>
        <v>0</v>
      </c>
      <c r="E423" s="384" t="n">
        <f aca="false">D423-F423</f>
        <v>0</v>
      </c>
      <c r="F423" s="384" t="n">
        <f aca="false">G422*$D$4*(C423-C422)/(DATE(YEAR(C423)+1,1,1)-DATE(YEAR(C423),1,1))/100</f>
        <v>0</v>
      </c>
      <c r="G423" s="385" t="n">
        <f aca="false">G422-E423-L423-M423</f>
        <v>0</v>
      </c>
      <c r="H423" s="386" t="n">
        <f aca="false">IFERROR(I423+J423,0)</f>
        <v>0</v>
      </c>
      <c r="I423" s="384" t="n">
        <f aca="false">IFERROR(IF($D$3/$D$5&lt;K422,$D$3/$D$5,K422),0)</f>
        <v>0</v>
      </c>
      <c r="J423" s="384" t="n">
        <f aca="false">K422*$D$4/12/100</f>
        <v>0</v>
      </c>
      <c r="K423" s="387" t="n">
        <f aca="false">K422-I423-L423-M423</f>
        <v>0</v>
      </c>
      <c r="L423" s="388"/>
      <c r="M423" s="389"/>
      <c r="N423" s="409"/>
      <c r="O423" s="409"/>
      <c r="P423" s="391" t="n">
        <f aca="false">IF(ISBLANK(L422),VALUE(P422),ROW(L422))</f>
        <v>10</v>
      </c>
      <c r="Q423" s="314" t="n">
        <f aca="false">Q422+P422-P423</f>
        <v>12</v>
      </c>
      <c r="R423" s="314" t="n">
        <f aca="false">INDEX(G:G,P423,1)</f>
        <v>69000</v>
      </c>
      <c r="S423" s="312"/>
    </row>
    <row r="424" s="379" customFormat="true" ht="14.9" hidden="false" customHeight="false" outlineLevel="0" collapsed="false">
      <c r="A424" s="380" t="n">
        <v>414</v>
      </c>
      <c r="B424" s="381" t="str">
        <f aca="false">CONCATENATE(INT((A424-1)/12)+1,"-й год ",A424-1-INT((A424-1)/12)*12+1,"-й мес")</f>
        <v>35-й год 6-й мес</v>
      </c>
      <c r="C424" s="382" t="n">
        <f aca="false">DATE(YEAR(C423),MONTH(C423)+1,DAY(C423))</f>
        <v>56462</v>
      </c>
      <c r="D424" s="383" t="n">
        <f aca="false">IFERROR(IF(R424*$D$4/100/12/(1-(1+$D$4/100/12)^(-Q424))&lt;G423,ROUNDUP(R424*$D$4/100/12/(1-(1+$D$4/100/12)^(-Q424)),0),G423+F424),0)</f>
        <v>0</v>
      </c>
      <c r="E424" s="384" t="n">
        <f aca="false">D424-F424</f>
        <v>0</v>
      </c>
      <c r="F424" s="384" t="n">
        <f aca="false">G423*$D$4*(C424-C423)/(DATE(YEAR(C424)+1,1,1)-DATE(YEAR(C424),1,1))/100</f>
        <v>0</v>
      </c>
      <c r="G424" s="385" t="n">
        <f aca="false">G423-E424-L424-M424</f>
        <v>0</v>
      </c>
      <c r="H424" s="386" t="n">
        <f aca="false">IFERROR(I424+J424,0)</f>
        <v>0</v>
      </c>
      <c r="I424" s="384" t="n">
        <f aca="false">IFERROR(IF($D$3/$D$5&lt;K423,$D$3/$D$5,K423),0)</f>
        <v>0</v>
      </c>
      <c r="J424" s="384" t="n">
        <f aca="false">K423*$D$4/12/100</f>
        <v>0</v>
      </c>
      <c r="K424" s="387" t="n">
        <f aca="false">K423-I424-L424-M424</f>
        <v>0</v>
      </c>
      <c r="L424" s="388"/>
      <c r="M424" s="389"/>
      <c r="N424" s="409"/>
      <c r="O424" s="409"/>
      <c r="P424" s="391" t="n">
        <f aca="false">IF(ISBLANK(L423),VALUE(P423),ROW(L423))</f>
        <v>10</v>
      </c>
      <c r="Q424" s="314" t="n">
        <f aca="false">Q423+P423-P424</f>
        <v>12</v>
      </c>
      <c r="R424" s="314" t="n">
        <f aca="false">INDEX(G:G,P424,1)</f>
        <v>69000</v>
      </c>
      <c r="S424" s="312"/>
    </row>
    <row r="425" s="379" customFormat="true" ht="14.9" hidden="false" customHeight="false" outlineLevel="0" collapsed="false">
      <c r="A425" s="380" t="n">
        <v>415</v>
      </c>
      <c r="B425" s="381" t="str">
        <f aca="false">CONCATENATE(INT((A425-1)/12)+1,"-й год ",A425-1-INT((A425-1)/12)*12+1,"-й мес")</f>
        <v>35-й год 7-й мес</v>
      </c>
      <c r="C425" s="382" t="n">
        <f aca="false">DATE(YEAR(C424),MONTH(C424)+1,DAY(C424))</f>
        <v>56493</v>
      </c>
      <c r="D425" s="383" t="n">
        <f aca="false">IFERROR(IF(R425*$D$4/100/12/(1-(1+$D$4/100/12)^(-Q425))&lt;G424,ROUNDUP(R425*$D$4/100/12/(1-(1+$D$4/100/12)^(-Q425)),0),G424+F425),0)</f>
        <v>0</v>
      </c>
      <c r="E425" s="384" t="n">
        <f aca="false">D425-F425</f>
        <v>0</v>
      </c>
      <c r="F425" s="384" t="n">
        <f aca="false">G424*$D$4*(C425-C424)/(DATE(YEAR(C425)+1,1,1)-DATE(YEAR(C425),1,1))/100</f>
        <v>0</v>
      </c>
      <c r="G425" s="385" t="n">
        <f aca="false">G424-E425-L425-M425</f>
        <v>0</v>
      </c>
      <c r="H425" s="386" t="n">
        <f aca="false">IFERROR(I425+J425,0)</f>
        <v>0</v>
      </c>
      <c r="I425" s="384" t="n">
        <f aca="false">IFERROR(IF($D$3/$D$5&lt;K424,$D$3/$D$5,K424),0)</f>
        <v>0</v>
      </c>
      <c r="J425" s="384" t="n">
        <f aca="false">K424*$D$4/12/100</f>
        <v>0</v>
      </c>
      <c r="K425" s="387" t="n">
        <f aca="false">K424-I425-L425-M425</f>
        <v>0</v>
      </c>
      <c r="L425" s="388"/>
      <c r="M425" s="389"/>
      <c r="N425" s="409"/>
      <c r="O425" s="409"/>
      <c r="P425" s="391" t="n">
        <f aca="false">IF(ISBLANK(L424),VALUE(P424),ROW(L424))</f>
        <v>10</v>
      </c>
      <c r="Q425" s="314" t="n">
        <f aca="false">Q424+P424-P425</f>
        <v>12</v>
      </c>
      <c r="R425" s="314" t="n">
        <f aca="false">INDEX(G:G,P425,1)</f>
        <v>69000</v>
      </c>
      <c r="S425" s="312"/>
    </row>
    <row r="426" s="379" customFormat="true" ht="14.9" hidden="false" customHeight="false" outlineLevel="0" collapsed="false">
      <c r="A426" s="380" t="n">
        <v>416</v>
      </c>
      <c r="B426" s="381" t="str">
        <f aca="false">CONCATENATE(INT((A426-1)/12)+1,"-й год ",A426-1-INT((A426-1)/12)*12+1,"-й мес")</f>
        <v>35-й год 8-й мес</v>
      </c>
      <c r="C426" s="382" t="n">
        <f aca="false">DATE(YEAR(C425),MONTH(C425)+1,DAY(C425))</f>
        <v>56523</v>
      </c>
      <c r="D426" s="383" t="n">
        <f aca="false">IFERROR(IF(R426*$D$4/100/12/(1-(1+$D$4/100/12)^(-Q426))&lt;G425,ROUNDUP(R426*$D$4/100/12/(1-(1+$D$4/100/12)^(-Q426)),0),G425+F426),0)</f>
        <v>0</v>
      </c>
      <c r="E426" s="384" t="n">
        <f aca="false">D426-F426</f>
        <v>0</v>
      </c>
      <c r="F426" s="384" t="n">
        <f aca="false">G425*$D$4*(C426-C425)/(DATE(YEAR(C426)+1,1,1)-DATE(YEAR(C426),1,1))/100</f>
        <v>0</v>
      </c>
      <c r="G426" s="385" t="n">
        <f aca="false">G425-E426-L426-M426</f>
        <v>0</v>
      </c>
      <c r="H426" s="386" t="n">
        <f aca="false">IFERROR(I426+J426,0)</f>
        <v>0</v>
      </c>
      <c r="I426" s="384" t="n">
        <f aca="false">IFERROR(IF($D$3/$D$5&lt;K425,$D$3/$D$5,K425),0)</f>
        <v>0</v>
      </c>
      <c r="J426" s="384" t="n">
        <f aca="false">K425*$D$4/12/100</f>
        <v>0</v>
      </c>
      <c r="K426" s="387" t="n">
        <f aca="false">K425-I426-L426-M426</f>
        <v>0</v>
      </c>
      <c r="L426" s="388"/>
      <c r="M426" s="389"/>
      <c r="N426" s="409"/>
      <c r="O426" s="409"/>
      <c r="P426" s="391" t="n">
        <f aca="false">IF(ISBLANK(L425),VALUE(P425),ROW(L425))</f>
        <v>10</v>
      </c>
      <c r="Q426" s="314" t="n">
        <f aca="false">Q425+P425-P426</f>
        <v>12</v>
      </c>
      <c r="R426" s="314" t="n">
        <f aca="false">INDEX(G:G,P426,1)</f>
        <v>69000</v>
      </c>
      <c r="S426" s="312"/>
    </row>
    <row r="427" s="379" customFormat="true" ht="14.9" hidden="false" customHeight="false" outlineLevel="0" collapsed="false">
      <c r="A427" s="380" t="n">
        <v>417</v>
      </c>
      <c r="B427" s="381" t="str">
        <f aca="false">CONCATENATE(INT((A427-1)/12)+1,"-й год ",A427-1-INT((A427-1)/12)*12+1,"-й мес")</f>
        <v>35-й год 9-й мес</v>
      </c>
      <c r="C427" s="382" t="n">
        <f aca="false">DATE(YEAR(C426),MONTH(C426)+1,DAY(C426))</f>
        <v>56554</v>
      </c>
      <c r="D427" s="383" t="n">
        <f aca="false">IFERROR(IF(R427*$D$4/100/12/(1-(1+$D$4/100/12)^(-Q427))&lt;G426,ROUNDUP(R427*$D$4/100/12/(1-(1+$D$4/100/12)^(-Q427)),0),G426+F427),0)</f>
        <v>0</v>
      </c>
      <c r="E427" s="384" t="n">
        <f aca="false">D427-F427</f>
        <v>0</v>
      </c>
      <c r="F427" s="384" t="n">
        <f aca="false">G426*$D$4*(C427-C426)/(DATE(YEAR(C427)+1,1,1)-DATE(YEAR(C427),1,1))/100</f>
        <v>0</v>
      </c>
      <c r="G427" s="385" t="n">
        <f aca="false">G426-E427-L427-M427</f>
        <v>0</v>
      </c>
      <c r="H427" s="386" t="n">
        <f aca="false">IFERROR(I427+J427,0)</f>
        <v>0</v>
      </c>
      <c r="I427" s="384" t="n">
        <f aca="false">IFERROR(IF($D$3/$D$5&lt;K426,$D$3/$D$5,K426),0)</f>
        <v>0</v>
      </c>
      <c r="J427" s="384" t="n">
        <f aca="false">K426*$D$4/12/100</f>
        <v>0</v>
      </c>
      <c r="K427" s="387" t="n">
        <f aca="false">K426-I427-L427-M427</f>
        <v>0</v>
      </c>
      <c r="L427" s="388"/>
      <c r="M427" s="389"/>
      <c r="N427" s="409"/>
      <c r="O427" s="409"/>
      <c r="P427" s="391" t="n">
        <f aca="false">IF(ISBLANK(L426),VALUE(P426),ROW(L426))</f>
        <v>10</v>
      </c>
      <c r="Q427" s="314" t="n">
        <f aca="false">Q426+P426-P427</f>
        <v>12</v>
      </c>
      <c r="R427" s="314" t="n">
        <f aca="false">INDEX(G:G,P427,1)</f>
        <v>69000</v>
      </c>
      <c r="S427" s="312"/>
    </row>
    <row r="428" s="379" customFormat="true" ht="14.9" hidden="false" customHeight="false" outlineLevel="0" collapsed="false">
      <c r="A428" s="380" t="n">
        <v>418</v>
      </c>
      <c r="B428" s="381" t="str">
        <f aca="false">CONCATENATE(INT((A428-1)/12)+1,"-й год ",A428-1-INT((A428-1)/12)*12+1,"-й мес")</f>
        <v>35-й год 10-й мес</v>
      </c>
      <c r="C428" s="382" t="n">
        <f aca="false">DATE(YEAR(C427),MONTH(C427)+1,DAY(C427))</f>
        <v>56584</v>
      </c>
      <c r="D428" s="383" t="n">
        <f aca="false">IFERROR(IF(R428*$D$4/100/12/(1-(1+$D$4/100/12)^(-Q428))&lt;G427,ROUNDUP(R428*$D$4/100/12/(1-(1+$D$4/100/12)^(-Q428)),0),G427+F428),0)</f>
        <v>0</v>
      </c>
      <c r="E428" s="384" t="n">
        <f aca="false">D428-F428</f>
        <v>0</v>
      </c>
      <c r="F428" s="384" t="n">
        <f aca="false">G427*$D$4*(C428-C427)/(DATE(YEAR(C428)+1,1,1)-DATE(YEAR(C428),1,1))/100</f>
        <v>0</v>
      </c>
      <c r="G428" s="385" t="n">
        <f aca="false">G427-E428-L428-M428</f>
        <v>0</v>
      </c>
      <c r="H428" s="386" t="n">
        <f aca="false">IFERROR(I428+J428,0)</f>
        <v>0</v>
      </c>
      <c r="I428" s="384" t="n">
        <f aca="false">IFERROR(IF($D$3/$D$5&lt;K427,$D$3/$D$5,K427),0)</f>
        <v>0</v>
      </c>
      <c r="J428" s="384" t="n">
        <f aca="false">K427*$D$4/12/100</f>
        <v>0</v>
      </c>
      <c r="K428" s="387" t="n">
        <f aca="false">K427-I428-L428-M428</f>
        <v>0</v>
      </c>
      <c r="L428" s="388"/>
      <c r="M428" s="389"/>
      <c r="N428" s="409"/>
      <c r="O428" s="409"/>
      <c r="P428" s="391" t="n">
        <f aca="false">IF(ISBLANK(L427),VALUE(P427),ROW(L427))</f>
        <v>10</v>
      </c>
      <c r="Q428" s="314" t="n">
        <f aca="false">Q427+P427-P428</f>
        <v>12</v>
      </c>
      <c r="R428" s="314" t="n">
        <f aca="false">INDEX(G:G,P428,1)</f>
        <v>69000</v>
      </c>
      <c r="S428" s="312"/>
    </row>
    <row r="429" s="379" customFormat="true" ht="14.9" hidden="false" customHeight="false" outlineLevel="0" collapsed="false">
      <c r="A429" s="380" t="n">
        <v>419</v>
      </c>
      <c r="B429" s="381" t="str">
        <f aca="false">CONCATENATE(INT((A429-1)/12)+1,"-й год ",A429-1-INT((A429-1)/12)*12+1,"-й мес")</f>
        <v>35-й год 11-й мес</v>
      </c>
      <c r="C429" s="382" t="n">
        <f aca="false">DATE(YEAR(C428),MONTH(C428)+1,DAY(C428))</f>
        <v>56615</v>
      </c>
      <c r="D429" s="383" t="n">
        <f aca="false">IFERROR(IF(R429*$D$4/100/12/(1-(1+$D$4/100/12)^(-Q429))&lt;G428,ROUNDUP(R429*$D$4/100/12/(1-(1+$D$4/100/12)^(-Q429)),0),G428+F429),0)</f>
        <v>0</v>
      </c>
      <c r="E429" s="384" t="n">
        <f aca="false">D429-F429</f>
        <v>0</v>
      </c>
      <c r="F429" s="384" t="n">
        <f aca="false">G428*$D$4*(C429-C428)/(DATE(YEAR(C429)+1,1,1)-DATE(YEAR(C429),1,1))/100</f>
        <v>0</v>
      </c>
      <c r="G429" s="385" t="n">
        <f aca="false">G428-E429-L429-M429</f>
        <v>0</v>
      </c>
      <c r="H429" s="386" t="n">
        <f aca="false">IFERROR(I429+J429,0)</f>
        <v>0</v>
      </c>
      <c r="I429" s="384" t="n">
        <f aca="false">IFERROR(IF($D$3/$D$5&lt;K428,$D$3/$D$5,K428),0)</f>
        <v>0</v>
      </c>
      <c r="J429" s="384" t="n">
        <f aca="false">K428*$D$4/12/100</f>
        <v>0</v>
      </c>
      <c r="K429" s="387" t="n">
        <f aca="false">K428-I429-L429-M429</f>
        <v>0</v>
      </c>
      <c r="L429" s="388"/>
      <c r="M429" s="389"/>
      <c r="N429" s="409"/>
      <c r="O429" s="409"/>
      <c r="P429" s="391" t="n">
        <f aca="false">IF(ISBLANK(L428),VALUE(P428),ROW(L428))</f>
        <v>10</v>
      </c>
      <c r="Q429" s="314" t="n">
        <f aca="false">Q428+P428-P429</f>
        <v>12</v>
      </c>
      <c r="R429" s="314" t="n">
        <f aca="false">INDEX(G:G,P429,1)</f>
        <v>69000</v>
      </c>
      <c r="S429" s="312"/>
    </row>
    <row r="430" s="379" customFormat="true" ht="14.9" hidden="false" customHeight="false" outlineLevel="0" collapsed="false">
      <c r="A430" s="380" t="n">
        <v>420</v>
      </c>
      <c r="B430" s="392" t="str">
        <f aca="false">CONCATENATE(INT((A430-1)/12)+1,"-й год ",A430-1-INT((A430-1)/12)*12+1,"-й мес")</f>
        <v>35-й год 12-й мес</v>
      </c>
      <c r="C430" s="393" t="n">
        <f aca="false">DATE(YEAR(C429),MONTH(C429)+1,DAY(C429))</f>
        <v>56646</v>
      </c>
      <c r="D430" s="394" t="n">
        <f aca="false">IFERROR(IF(R430*$D$4/100/12/(1-(1+$D$4/100/12)^(-Q430))&lt;G429,ROUNDUP(R430*$D$4/100/12/(1-(1+$D$4/100/12)^(-Q430)),0),G429+F430),0)</f>
        <v>0</v>
      </c>
      <c r="E430" s="395" t="n">
        <f aca="false">D430-F430</f>
        <v>0</v>
      </c>
      <c r="F430" s="395" t="n">
        <f aca="false">G429*$D$4*(C430-C429)/(DATE(YEAR(C430)+1,1,1)-DATE(YEAR(C430),1,1))/100</f>
        <v>0</v>
      </c>
      <c r="G430" s="385" t="n">
        <f aca="false">G429-E430-L430-M430</f>
        <v>0</v>
      </c>
      <c r="H430" s="386" t="n">
        <f aca="false">IFERROR(I430+J430,0)</f>
        <v>0</v>
      </c>
      <c r="I430" s="384" t="n">
        <f aca="false">IFERROR(IF($D$3/$D$5&lt;K429,$D$3/$D$5,K429),0)</f>
        <v>0</v>
      </c>
      <c r="J430" s="384" t="n">
        <f aca="false">K429*$D$4/12/100</f>
        <v>0</v>
      </c>
      <c r="K430" s="387" t="n">
        <f aca="false">K429-I430-L430-M430</f>
        <v>0</v>
      </c>
      <c r="L430" s="388"/>
      <c r="M430" s="389"/>
      <c r="N430" s="409"/>
      <c r="O430" s="409"/>
      <c r="P430" s="391" t="n">
        <f aca="false">IF(ISBLANK(L429),VALUE(P429),ROW(L429))</f>
        <v>10</v>
      </c>
      <c r="Q430" s="314" t="n">
        <f aca="false">Q429+P429-P430</f>
        <v>12</v>
      </c>
      <c r="R430" s="314" t="n">
        <f aca="false">INDEX(G:G,P430,1)</f>
        <v>69000</v>
      </c>
      <c r="S430" s="312"/>
    </row>
    <row r="431" s="379" customFormat="true" ht="14.9" hidden="false" customHeight="false" outlineLevel="0" collapsed="false">
      <c r="A431" s="396" t="n">
        <v>421</v>
      </c>
      <c r="B431" s="381" t="str">
        <f aca="false">CONCATENATE(INT((A431-1)/12)+1,"-й год ",A431-1-INT((A431-1)/12)*12+1,"-й мес")</f>
        <v>36-й год 1-й мес</v>
      </c>
      <c r="C431" s="382" t="n">
        <f aca="false">DATE(YEAR(C430),MONTH(C430)+1,DAY(C430))</f>
        <v>56674</v>
      </c>
      <c r="D431" s="383" t="n">
        <f aca="false">IFERROR(IF(R431*$D$4/100/12/(1-(1+$D$4/100/12)^(-Q431))&lt;G430,ROUNDUP(R431*$D$4/100/12/(1-(1+$D$4/100/12)^(-Q431)),0),G430+F431),0)</f>
        <v>0</v>
      </c>
      <c r="E431" s="384" t="n">
        <f aca="false">D431-F431</f>
        <v>0</v>
      </c>
      <c r="F431" s="384" t="n">
        <f aca="false">G430*$D$4*(C431-C430)/(DATE(YEAR(C431)+1,1,1)-DATE(YEAR(C431),1,1))/100</f>
        <v>0</v>
      </c>
      <c r="G431" s="397" t="n">
        <f aca="false">G430-E431-L431-M431</f>
        <v>0</v>
      </c>
      <c r="H431" s="398" t="n">
        <f aca="false">IFERROR(I431+J431,0)</f>
        <v>0</v>
      </c>
      <c r="I431" s="399" t="n">
        <f aca="false">IFERROR(IF($D$3/$D$5&lt;K430,$D$3/$D$5,K430),0)</f>
        <v>0</v>
      </c>
      <c r="J431" s="399" t="n">
        <f aca="false">K430*$D$4/12/100</f>
        <v>0</v>
      </c>
      <c r="K431" s="400" t="n">
        <f aca="false">K430-I431-L431-M431</f>
        <v>0</v>
      </c>
      <c r="L431" s="401"/>
      <c r="M431" s="402"/>
      <c r="N431" s="409"/>
      <c r="O431" s="409"/>
      <c r="P431" s="391" t="n">
        <f aca="false">IF(ISBLANK(L430),VALUE(P430),ROW(L430))</f>
        <v>10</v>
      </c>
      <c r="Q431" s="314" t="n">
        <f aca="false">Q430+P430-P431</f>
        <v>12</v>
      </c>
      <c r="R431" s="314" t="n">
        <f aca="false">INDEX(G:G,P431,1)</f>
        <v>69000</v>
      </c>
      <c r="S431" s="312"/>
    </row>
    <row r="432" s="379" customFormat="true" ht="14.9" hidden="false" customHeight="false" outlineLevel="0" collapsed="false">
      <c r="A432" s="403" t="n">
        <v>422</v>
      </c>
      <c r="B432" s="381" t="str">
        <f aca="false">CONCATENATE(INT((A432-1)/12)+1,"-й год ",A432-1-INT((A432-1)/12)*12+1,"-й мес")</f>
        <v>36-й год 2-й мес</v>
      </c>
      <c r="C432" s="382" t="n">
        <f aca="false">DATE(YEAR(C431),MONTH(C431)+1,DAY(C431))</f>
        <v>56705</v>
      </c>
      <c r="D432" s="383" t="n">
        <f aca="false">IFERROR(IF(R432*$D$4/100/12/(1-(1+$D$4/100/12)^(-Q432))&lt;G431,ROUNDUP(R432*$D$4/100/12/(1-(1+$D$4/100/12)^(-Q432)),0),G431+F432),0)</f>
        <v>0</v>
      </c>
      <c r="E432" s="384" t="n">
        <f aca="false">D432-F432</f>
        <v>0</v>
      </c>
      <c r="F432" s="384" t="n">
        <f aca="false">G431*$D$4*(C432-C431)/(DATE(YEAR(C432)+1,1,1)-DATE(YEAR(C432),1,1))/100</f>
        <v>0</v>
      </c>
      <c r="G432" s="385" t="n">
        <f aca="false">G431-E432-L432-M432</f>
        <v>0</v>
      </c>
      <c r="H432" s="386" t="n">
        <f aca="false">IFERROR(I432+J432,0)</f>
        <v>0</v>
      </c>
      <c r="I432" s="384" t="n">
        <f aca="false">IFERROR(IF($D$3/$D$5&lt;K431,$D$3/$D$5,K431),0)</f>
        <v>0</v>
      </c>
      <c r="J432" s="384" t="n">
        <f aca="false">K431*$D$4/12/100</f>
        <v>0</v>
      </c>
      <c r="K432" s="387" t="n">
        <f aca="false">K431-I432-L432-M432</f>
        <v>0</v>
      </c>
      <c r="L432" s="388"/>
      <c r="M432" s="389"/>
      <c r="N432" s="409"/>
      <c r="O432" s="409"/>
      <c r="P432" s="391" t="n">
        <f aca="false">IF(ISBLANK(L431),VALUE(P431),ROW(L431))</f>
        <v>10</v>
      </c>
      <c r="Q432" s="314" t="n">
        <f aca="false">Q431+P431-P432</f>
        <v>12</v>
      </c>
      <c r="R432" s="314" t="n">
        <f aca="false">INDEX(G:G,P432,1)</f>
        <v>69000</v>
      </c>
      <c r="S432" s="312"/>
    </row>
    <row r="433" s="379" customFormat="true" ht="14.9" hidden="false" customHeight="false" outlineLevel="0" collapsed="false">
      <c r="A433" s="403" t="n">
        <v>423</v>
      </c>
      <c r="B433" s="381" t="str">
        <f aca="false">CONCATENATE(INT((A433-1)/12)+1,"-й год ",A433-1-INT((A433-1)/12)*12+1,"-й мес")</f>
        <v>36-й год 3-й мес</v>
      </c>
      <c r="C433" s="382" t="n">
        <f aca="false">DATE(YEAR(C432),MONTH(C432)+1,DAY(C432))</f>
        <v>56735</v>
      </c>
      <c r="D433" s="383" t="n">
        <f aca="false">IFERROR(IF(R433*$D$4/100/12/(1-(1+$D$4/100/12)^(-Q433))&lt;G432,ROUNDUP(R433*$D$4/100/12/(1-(1+$D$4/100/12)^(-Q433)),0),G432+F433),0)</f>
        <v>0</v>
      </c>
      <c r="E433" s="384" t="n">
        <f aca="false">D433-F433</f>
        <v>0</v>
      </c>
      <c r="F433" s="384" t="n">
        <f aca="false">G432*$D$4*(C433-C432)/(DATE(YEAR(C433)+1,1,1)-DATE(YEAR(C433),1,1))/100</f>
        <v>0</v>
      </c>
      <c r="G433" s="385" t="n">
        <f aca="false">G432-E433-L433-M433</f>
        <v>0</v>
      </c>
      <c r="H433" s="386" t="n">
        <f aca="false">IFERROR(I433+J433,0)</f>
        <v>0</v>
      </c>
      <c r="I433" s="384" t="n">
        <f aca="false">IFERROR(IF($D$3/$D$5&lt;K432,$D$3/$D$5,K432),0)</f>
        <v>0</v>
      </c>
      <c r="J433" s="384" t="n">
        <f aca="false">K432*$D$4/12/100</f>
        <v>0</v>
      </c>
      <c r="K433" s="387" t="n">
        <f aca="false">K432-I433-L433-M433</f>
        <v>0</v>
      </c>
      <c r="L433" s="388"/>
      <c r="M433" s="389"/>
      <c r="N433" s="409"/>
      <c r="O433" s="409"/>
      <c r="P433" s="391" t="n">
        <f aca="false">IF(ISBLANK(L432),VALUE(P432),ROW(L432))</f>
        <v>10</v>
      </c>
      <c r="Q433" s="314" t="n">
        <f aca="false">Q432+P432-P433</f>
        <v>12</v>
      </c>
      <c r="R433" s="314" t="n">
        <f aca="false">INDEX(G:G,P433,1)</f>
        <v>69000</v>
      </c>
      <c r="S433" s="312"/>
    </row>
    <row r="434" s="379" customFormat="true" ht="14.9" hidden="false" customHeight="false" outlineLevel="0" collapsed="false">
      <c r="A434" s="403" t="n">
        <v>424</v>
      </c>
      <c r="B434" s="381" t="str">
        <f aca="false">CONCATENATE(INT((A434-1)/12)+1,"-й год ",A434-1-INT((A434-1)/12)*12+1,"-й мес")</f>
        <v>36-й год 4-й мес</v>
      </c>
      <c r="C434" s="382" t="n">
        <f aca="false">DATE(YEAR(C433),MONTH(C433)+1,DAY(C433))</f>
        <v>56766</v>
      </c>
      <c r="D434" s="383" t="n">
        <f aca="false">IFERROR(IF(R434*$D$4/100/12/(1-(1+$D$4/100/12)^(-Q434))&lt;G433,ROUNDUP(R434*$D$4/100/12/(1-(1+$D$4/100/12)^(-Q434)),0),G433+F434),0)</f>
        <v>0</v>
      </c>
      <c r="E434" s="384" t="n">
        <f aca="false">D434-F434</f>
        <v>0</v>
      </c>
      <c r="F434" s="384" t="n">
        <f aca="false">G433*$D$4*(C434-C433)/(DATE(YEAR(C434)+1,1,1)-DATE(YEAR(C434),1,1))/100</f>
        <v>0</v>
      </c>
      <c r="G434" s="385" t="n">
        <f aca="false">G433-E434-L434-M434</f>
        <v>0</v>
      </c>
      <c r="H434" s="386" t="n">
        <f aca="false">IFERROR(I434+J434,0)</f>
        <v>0</v>
      </c>
      <c r="I434" s="384" t="n">
        <f aca="false">IFERROR(IF($D$3/$D$5&lt;K433,$D$3/$D$5,K433),0)</f>
        <v>0</v>
      </c>
      <c r="J434" s="384" t="n">
        <f aca="false">K433*$D$4/12/100</f>
        <v>0</v>
      </c>
      <c r="K434" s="387" t="n">
        <f aca="false">K433-I434-L434-M434</f>
        <v>0</v>
      </c>
      <c r="L434" s="388"/>
      <c r="M434" s="389"/>
      <c r="N434" s="409"/>
      <c r="O434" s="409"/>
      <c r="P434" s="391" t="n">
        <f aca="false">IF(ISBLANK(L433),VALUE(P433),ROW(L433))</f>
        <v>10</v>
      </c>
      <c r="Q434" s="314" t="n">
        <f aca="false">Q433+P433-P434</f>
        <v>12</v>
      </c>
      <c r="R434" s="314" t="n">
        <f aca="false">INDEX(G:G,P434,1)</f>
        <v>69000</v>
      </c>
      <c r="S434" s="312"/>
    </row>
    <row r="435" s="379" customFormat="true" ht="14.9" hidden="false" customHeight="false" outlineLevel="0" collapsed="false">
      <c r="A435" s="403" t="n">
        <v>425</v>
      </c>
      <c r="B435" s="381" t="str">
        <f aca="false">CONCATENATE(INT((A435-1)/12)+1,"-й год ",A435-1-INT((A435-1)/12)*12+1,"-й мес")</f>
        <v>36-й год 5-й мес</v>
      </c>
      <c r="C435" s="382" t="n">
        <f aca="false">DATE(YEAR(C434),MONTH(C434)+1,DAY(C434))</f>
        <v>56796</v>
      </c>
      <c r="D435" s="383" t="n">
        <f aca="false">IFERROR(IF(R435*$D$4/100/12/(1-(1+$D$4/100/12)^(-Q435))&lt;G434,ROUNDUP(R435*$D$4/100/12/(1-(1+$D$4/100/12)^(-Q435)),0),G434+F435),0)</f>
        <v>0</v>
      </c>
      <c r="E435" s="384" t="n">
        <f aca="false">D435-F435</f>
        <v>0</v>
      </c>
      <c r="F435" s="384" t="n">
        <f aca="false">G434*$D$4*(C435-C434)/(DATE(YEAR(C435)+1,1,1)-DATE(YEAR(C435),1,1))/100</f>
        <v>0</v>
      </c>
      <c r="G435" s="385" t="n">
        <f aca="false">G434-E435-L435-M435</f>
        <v>0</v>
      </c>
      <c r="H435" s="386" t="n">
        <f aca="false">IFERROR(I435+J435,0)</f>
        <v>0</v>
      </c>
      <c r="I435" s="384" t="n">
        <f aca="false">IFERROR(IF($D$3/$D$5&lt;K434,$D$3/$D$5,K434),0)</f>
        <v>0</v>
      </c>
      <c r="J435" s="384" t="n">
        <f aca="false">K434*$D$4/12/100</f>
        <v>0</v>
      </c>
      <c r="K435" s="387" t="n">
        <f aca="false">K434-I435-L435-M435</f>
        <v>0</v>
      </c>
      <c r="L435" s="388"/>
      <c r="M435" s="389"/>
      <c r="N435" s="409"/>
      <c r="O435" s="409"/>
      <c r="P435" s="391" t="n">
        <f aca="false">IF(ISBLANK(L434),VALUE(P434),ROW(L434))</f>
        <v>10</v>
      </c>
      <c r="Q435" s="314" t="n">
        <f aca="false">Q434+P434-P435</f>
        <v>12</v>
      </c>
      <c r="R435" s="314" t="n">
        <f aca="false">INDEX(G:G,P435,1)</f>
        <v>69000</v>
      </c>
      <c r="S435" s="312"/>
    </row>
    <row r="436" s="379" customFormat="true" ht="14.9" hidden="false" customHeight="false" outlineLevel="0" collapsed="false">
      <c r="A436" s="403" t="n">
        <v>426</v>
      </c>
      <c r="B436" s="381" t="str">
        <f aca="false">CONCATENATE(INT((A436-1)/12)+1,"-й год ",A436-1-INT((A436-1)/12)*12+1,"-й мес")</f>
        <v>36-й год 6-й мес</v>
      </c>
      <c r="C436" s="382" t="n">
        <f aca="false">DATE(YEAR(C435),MONTH(C435)+1,DAY(C435))</f>
        <v>56827</v>
      </c>
      <c r="D436" s="383" t="n">
        <f aca="false">IFERROR(IF(R436*$D$4/100/12/(1-(1+$D$4/100/12)^(-Q436))&lt;G435,ROUNDUP(R436*$D$4/100/12/(1-(1+$D$4/100/12)^(-Q436)),0),G435+F436),0)</f>
        <v>0</v>
      </c>
      <c r="E436" s="384" t="n">
        <f aca="false">D436-F436</f>
        <v>0</v>
      </c>
      <c r="F436" s="384" t="n">
        <f aca="false">G435*$D$4*(C436-C435)/(DATE(YEAR(C436)+1,1,1)-DATE(YEAR(C436),1,1))/100</f>
        <v>0</v>
      </c>
      <c r="G436" s="385" t="n">
        <f aca="false">G435-E436-L436-M436</f>
        <v>0</v>
      </c>
      <c r="H436" s="386" t="n">
        <f aca="false">IFERROR(I436+J436,0)</f>
        <v>0</v>
      </c>
      <c r="I436" s="384" t="n">
        <f aca="false">IFERROR(IF($D$3/$D$5&lt;K435,$D$3/$D$5,K435),0)</f>
        <v>0</v>
      </c>
      <c r="J436" s="384" t="n">
        <f aca="false">K435*$D$4/12/100</f>
        <v>0</v>
      </c>
      <c r="K436" s="387" t="n">
        <f aca="false">K435-I436-L436-M436</f>
        <v>0</v>
      </c>
      <c r="L436" s="388"/>
      <c r="M436" s="389"/>
      <c r="N436" s="409"/>
      <c r="O436" s="409"/>
      <c r="P436" s="391" t="n">
        <f aca="false">IF(ISBLANK(L435),VALUE(P435),ROW(L435))</f>
        <v>10</v>
      </c>
      <c r="Q436" s="314" t="n">
        <f aca="false">Q435+P435-P436</f>
        <v>12</v>
      </c>
      <c r="R436" s="314" t="n">
        <f aca="false">INDEX(G:G,P436,1)</f>
        <v>69000</v>
      </c>
      <c r="S436" s="312"/>
    </row>
    <row r="437" s="379" customFormat="true" ht="14.9" hidden="false" customHeight="false" outlineLevel="0" collapsed="false">
      <c r="A437" s="403" t="n">
        <v>427</v>
      </c>
      <c r="B437" s="381" t="str">
        <f aca="false">CONCATENATE(INT((A437-1)/12)+1,"-й год ",A437-1-INT((A437-1)/12)*12+1,"-й мес")</f>
        <v>36-й год 7-й мес</v>
      </c>
      <c r="C437" s="382" t="n">
        <f aca="false">DATE(YEAR(C436),MONTH(C436)+1,DAY(C436))</f>
        <v>56858</v>
      </c>
      <c r="D437" s="383" t="n">
        <f aca="false">IFERROR(IF(R437*$D$4/100/12/(1-(1+$D$4/100/12)^(-Q437))&lt;G436,ROUNDUP(R437*$D$4/100/12/(1-(1+$D$4/100/12)^(-Q437)),0),G436+F437),0)</f>
        <v>0</v>
      </c>
      <c r="E437" s="384" t="n">
        <f aca="false">D437-F437</f>
        <v>0</v>
      </c>
      <c r="F437" s="384" t="n">
        <f aca="false">G436*$D$4*(C437-C436)/(DATE(YEAR(C437)+1,1,1)-DATE(YEAR(C437),1,1))/100</f>
        <v>0</v>
      </c>
      <c r="G437" s="385" t="n">
        <f aca="false">G436-E437-L437-M437</f>
        <v>0</v>
      </c>
      <c r="H437" s="386" t="n">
        <f aca="false">IFERROR(I437+J437,0)</f>
        <v>0</v>
      </c>
      <c r="I437" s="384" t="n">
        <f aca="false">IFERROR(IF($D$3/$D$5&lt;K436,$D$3/$D$5,K436),0)</f>
        <v>0</v>
      </c>
      <c r="J437" s="384" t="n">
        <f aca="false">K436*$D$4/12/100</f>
        <v>0</v>
      </c>
      <c r="K437" s="387" t="n">
        <f aca="false">K436-I437-L437-M437</f>
        <v>0</v>
      </c>
      <c r="L437" s="388"/>
      <c r="M437" s="389"/>
      <c r="N437" s="409"/>
      <c r="O437" s="409"/>
      <c r="P437" s="391" t="n">
        <f aca="false">IF(ISBLANK(L436),VALUE(P436),ROW(L436))</f>
        <v>10</v>
      </c>
      <c r="Q437" s="314" t="n">
        <f aca="false">Q436+P436-P437</f>
        <v>12</v>
      </c>
      <c r="R437" s="314" t="n">
        <f aca="false">INDEX(G:G,P437,1)</f>
        <v>69000</v>
      </c>
      <c r="S437" s="312"/>
    </row>
    <row r="438" s="379" customFormat="true" ht="14.9" hidden="false" customHeight="false" outlineLevel="0" collapsed="false">
      <c r="A438" s="403" t="n">
        <v>428</v>
      </c>
      <c r="B438" s="381" t="str">
        <f aca="false">CONCATENATE(INT((A438-1)/12)+1,"-й год ",A438-1-INT((A438-1)/12)*12+1,"-й мес")</f>
        <v>36-й год 8-й мес</v>
      </c>
      <c r="C438" s="382" t="n">
        <f aca="false">DATE(YEAR(C437),MONTH(C437)+1,DAY(C437))</f>
        <v>56888</v>
      </c>
      <c r="D438" s="383" t="n">
        <f aca="false">IFERROR(IF(R438*$D$4/100/12/(1-(1+$D$4/100/12)^(-Q438))&lt;G437,ROUNDUP(R438*$D$4/100/12/(1-(1+$D$4/100/12)^(-Q438)),0),G437+F438),0)</f>
        <v>0</v>
      </c>
      <c r="E438" s="384" t="n">
        <f aca="false">D438-F438</f>
        <v>0</v>
      </c>
      <c r="F438" s="384" t="n">
        <f aca="false">G437*$D$4*(C438-C437)/(DATE(YEAR(C438)+1,1,1)-DATE(YEAR(C438),1,1))/100</f>
        <v>0</v>
      </c>
      <c r="G438" s="385" t="n">
        <f aca="false">G437-E438-L438-M438</f>
        <v>0</v>
      </c>
      <c r="H438" s="386" t="n">
        <f aca="false">IFERROR(I438+J438,0)</f>
        <v>0</v>
      </c>
      <c r="I438" s="384" t="n">
        <f aca="false">IFERROR(IF($D$3/$D$5&lt;K437,$D$3/$D$5,K437),0)</f>
        <v>0</v>
      </c>
      <c r="J438" s="384" t="n">
        <f aca="false">K437*$D$4/12/100</f>
        <v>0</v>
      </c>
      <c r="K438" s="387" t="n">
        <f aca="false">K437-I438-L438-M438</f>
        <v>0</v>
      </c>
      <c r="L438" s="388"/>
      <c r="M438" s="389"/>
      <c r="N438" s="409"/>
      <c r="O438" s="409"/>
      <c r="P438" s="391" t="n">
        <f aca="false">IF(ISBLANK(L437),VALUE(P437),ROW(L437))</f>
        <v>10</v>
      </c>
      <c r="Q438" s="314" t="n">
        <f aca="false">Q437+P437-P438</f>
        <v>12</v>
      </c>
      <c r="R438" s="314" t="n">
        <f aca="false">INDEX(G:G,P438,1)</f>
        <v>69000</v>
      </c>
      <c r="S438" s="312"/>
    </row>
    <row r="439" s="379" customFormat="true" ht="14.9" hidden="false" customHeight="false" outlineLevel="0" collapsed="false">
      <c r="A439" s="403" t="n">
        <v>429</v>
      </c>
      <c r="B439" s="381" t="str">
        <f aca="false">CONCATENATE(INT((A439-1)/12)+1,"-й год ",A439-1-INT((A439-1)/12)*12+1,"-й мес")</f>
        <v>36-й год 9-й мес</v>
      </c>
      <c r="C439" s="382" t="n">
        <f aca="false">DATE(YEAR(C438),MONTH(C438)+1,DAY(C438))</f>
        <v>56919</v>
      </c>
      <c r="D439" s="383" t="n">
        <f aca="false">IFERROR(IF(R439*$D$4/100/12/(1-(1+$D$4/100/12)^(-Q439))&lt;G438,ROUNDUP(R439*$D$4/100/12/(1-(1+$D$4/100/12)^(-Q439)),0),G438+F439),0)</f>
        <v>0</v>
      </c>
      <c r="E439" s="384" t="n">
        <f aca="false">D439-F439</f>
        <v>0</v>
      </c>
      <c r="F439" s="384" t="n">
        <f aca="false">G438*$D$4*(C439-C438)/(DATE(YEAR(C439)+1,1,1)-DATE(YEAR(C439),1,1))/100</f>
        <v>0</v>
      </c>
      <c r="G439" s="385" t="n">
        <f aca="false">G438-E439-L439-M439</f>
        <v>0</v>
      </c>
      <c r="H439" s="386" t="n">
        <f aca="false">IFERROR(I439+J439,0)</f>
        <v>0</v>
      </c>
      <c r="I439" s="384" t="n">
        <f aca="false">IFERROR(IF($D$3/$D$5&lt;K438,$D$3/$D$5,K438),0)</f>
        <v>0</v>
      </c>
      <c r="J439" s="384" t="n">
        <f aca="false">K438*$D$4/12/100</f>
        <v>0</v>
      </c>
      <c r="K439" s="387" t="n">
        <f aca="false">K438-I439-L439-M439</f>
        <v>0</v>
      </c>
      <c r="L439" s="388"/>
      <c r="M439" s="389"/>
      <c r="N439" s="409"/>
      <c r="O439" s="409"/>
      <c r="P439" s="391" t="n">
        <f aca="false">IF(ISBLANK(L438),VALUE(P438),ROW(L438))</f>
        <v>10</v>
      </c>
      <c r="Q439" s="314" t="n">
        <f aca="false">Q438+P438-P439</f>
        <v>12</v>
      </c>
      <c r="R439" s="314" t="n">
        <f aca="false">INDEX(G:G,P439,1)</f>
        <v>69000</v>
      </c>
      <c r="S439" s="312"/>
    </row>
    <row r="440" s="379" customFormat="true" ht="14.9" hidden="false" customHeight="false" outlineLevel="0" collapsed="false">
      <c r="A440" s="403" t="n">
        <v>430</v>
      </c>
      <c r="B440" s="381" t="str">
        <f aca="false">CONCATENATE(INT((A440-1)/12)+1,"-й год ",A440-1-INT((A440-1)/12)*12+1,"-й мес")</f>
        <v>36-й год 10-й мес</v>
      </c>
      <c r="C440" s="382" t="n">
        <f aca="false">DATE(YEAR(C439),MONTH(C439)+1,DAY(C439))</f>
        <v>56949</v>
      </c>
      <c r="D440" s="383" t="n">
        <f aca="false">IFERROR(IF(R440*$D$4/100/12/(1-(1+$D$4/100/12)^(-Q440))&lt;G439,ROUNDUP(R440*$D$4/100/12/(1-(1+$D$4/100/12)^(-Q440)),0),G439+F440),0)</f>
        <v>0</v>
      </c>
      <c r="E440" s="384" t="n">
        <f aca="false">D440-F440</f>
        <v>0</v>
      </c>
      <c r="F440" s="384" t="n">
        <f aca="false">G439*$D$4*(C440-C439)/(DATE(YEAR(C440)+1,1,1)-DATE(YEAR(C440),1,1))/100</f>
        <v>0</v>
      </c>
      <c r="G440" s="385" t="n">
        <f aca="false">G439-E440-L440-M440</f>
        <v>0</v>
      </c>
      <c r="H440" s="386" t="n">
        <f aca="false">IFERROR(I440+J440,0)</f>
        <v>0</v>
      </c>
      <c r="I440" s="384" t="n">
        <f aca="false">IFERROR(IF($D$3/$D$5&lt;K439,$D$3/$D$5,K439),0)</f>
        <v>0</v>
      </c>
      <c r="J440" s="384" t="n">
        <f aca="false">K439*$D$4/12/100</f>
        <v>0</v>
      </c>
      <c r="K440" s="387" t="n">
        <f aca="false">K439-I440-L440-M440</f>
        <v>0</v>
      </c>
      <c r="L440" s="388"/>
      <c r="M440" s="389"/>
      <c r="N440" s="409"/>
      <c r="O440" s="409"/>
      <c r="P440" s="391" t="n">
        <f aca="false">IF(ISBLANK(L439),VALUE(P439),ROW(L439))</f>
        <v>10</v>
      </c>
      <c r="Q440" s="314" t="n">
        <f aca="false">Q439+P439-P440</f>
        <v>12</v>
      </c>
      <c r="R440" s="314" t="n">
        <f aca="false">INDEX(G:G,P440,1)</f>
        <v>69000</v>
      </c>
      <c r="S440" s="312"/>
    </row>
    <row r="441" s="379" customFormat="true" ht="14.9" hidden="false" customHeight="false" outlineLevel="0" collapsed="false">
      <c r="A441" s="403" t="n">
        <v>431</v>
      </c>
      <c r="B441" s="381" t="str">
        <f aca="false">CONCATENATE(INT((A441-1)/12)+1,"-й год ",A441-1-INT((A441-1)/12)*12+1,"-й мес")</f>
        <v>36-й год 11-й мес</v>
      </c>
      <c r="C441" s="382" t="n">
        <f aca="false">DATE(YEAR(C440),MONTH(C440)+1,DAY(C440))</f>
        <v>56980</v>
      </c>
      <c r="D441" s="383" t="n">
        <f aca="false">IFERROR(IF(R441*$D$4/100/12/(1-(1+$D$4/100/12)^(-Q441))&lt;G440,ROUNDUP(R441*$D$4/100/12/(1-(1+$D$4/100/12)^(-Q441)),0),G440+F441),0)</f>
        <v>0</v>
      </c>
      <c r="E441" s="384" t="n">
        <f aca="false">D441-F441</f>
        <v>0</v>
      </c>
      <c r="F441" s="384" t="n">
        <f aca="false">G440*$D$4*(C441-C440)/(DATE(YEAR(C441)+1,1,1)-DATE(YEAR(C441),1,1))/100</f>
        <v>0</v>
      </c>
      <c r="G441" s="385" t="n">
        <f aca="false">G440-E441-L441-M441</f>
        <v>0</v>
      </c>
      <c r="H441" s="386" t="n">
        <f aca="false">IFERROR(I441+J441,0)</f>
        <v>0</v>
      </c>
      <c r="I441" s="384" t="n">
        <f aca="false">IFERROR(IF($D$3/$D$5&lt;K440,$D$3/$D$5,K440),0)</f>
        <v>0</v>
      </c>
      <c r="J441" s="384" t="n">
        <f aca="false">K440*$D$4/12/100</f>
        <v>0</v>
      </c>
      <c r="K441" s="387" t="n">
        <f aca="false">K440-I441-L441-M441</f>
        <v>0</v>
      </c>
      <c r="L441" s="388"/>
      <c r="M441" s="389"/>
      <c r="N441" s="409"/>
      <c r="O441" s="409"/>
      <c r="P441" s="391" t="n">
        <f aca="false">IF(ISBLANK(L440),VALUE(P440),ROW(L440))</f>
        <v>10</v>
      </c>
      <c r="Q441" s="314" t="n">
        <f aca="false">Q440+P440-P441</f>
        <v>12</v>
      </c>
      <c r="R441" s="314" t="n">
        <f aca="false">INDEX(G:G,P441,1)</f>
        <v>69000</v>
      </c>
      <c r="S441" s="312"/>
    </row>
    <row r="442" s="379" customFormat="true" ht="14.9" hidden="false" customHeight="false" outlineLevel="0" collapsed="false">
      <c r="A442" s="404" t="n">
        <v>432</v>
      </c>
      <c r="B442" s="392" t="str">
        <f aca="false">CONCATENATE(INT((A442-1)/12)+1,"-й год ",A442-1-INT((A442-1)/12)*12+1,"-й мес")</f>
        <v>36-й год 12-й мес</v>
      </c>
      <c r="C442" s="393" t="n">
        <f aca="false">DATE(YEAR(C441),MONTH(C441)+1,DAY(C441))</f>
        <v>57011</v>
      </c>
      <c r="D442" s="394" t="n">
        <f aca="false">IFERROR(IF(R442*$D$4/100/12/(1-(1+$D$4/100/12)^(-Q442))&lt;G441,ROUNDUP(R442*$D$4/100/12/(1-(1+$D$4/100/12)^(-Q442)),0),G441+F442),0)</f>
        <v>0</v>
      </c>
      <c r="E442" s="395" t="n">
        <f aca="false">D442-F442</f>
        <v>0</v>
      </c>
      <c r="F442" s="395" t="n">
        <f aca="false">G441*$D$4*(C442-C441)/(DATE(YEAR(C442)+1,1,1)-DATE(YEAR(C442),1,1))/100</f>
        <v>0</v>
      </c>
      <c r="G442" s="405" t="n">
        <f aca="false">G441-E442-L442-M442</f>
        <v>0</v>
      </c>
      <c r="H442" s="406" t="n">
        <f aca="false">IFERROR(I442+J442,0)</f>
        <v>0</v>
      </c>
      <c r="I442" s="395" t="n">
        <f aca="false">IFERROR(IF($D$3/$D$5&lt;K441,$D$3/$D$5,K441),0)</f>
        <v>0</v>
      </c>
      <c r="J442" s="395" t="n">
        <f aca="false">K441*$D$4/12/100</f>
        <v>0</v>
      </c>
      <c r="K442" s="407" t="n">
        <f aca="false">K441-I442-L442-M442</f>
        <v>0</v>
      </c>
      <c r="L442" s="408"/>
      <c r="M442" s="410"/>
      <c r="N442" s="409"/>
      <c r="O442" s="409"/>
      <c r="P442" s="391" t="n">
        <f aca="false">IF(ISBLANK(L441),VALUE(P441),ROW(L441))</f>
        <v>10</v>
      </c>
      <c r="Q442" s="314" t="n">
        <f aca="false">Q441+P441-P442</f>
        <v>12</v>
      </c>
      <c r="R442" s="314" t="n">
        <f aca="false">INDEX(G:G,P442,1)</f>
        <v>69000</v>
      </c>
      <c r="S442" s="312"/>
    </row>
    <row r="443" s="379" customFormat="true" ht="14.9" hidden="false" customHeight="false" outlineLevel="0" collapsed="false">
      <c r="A443" s="380" t="n">
        <v>433</v>
      </c>
      <c r="B443" s="381" t="str">
        <f aca="false">CONCATENATE(INT((A443-1)/12)+1,"-й год ",A443-1-INT((A443-1)/12)*12+1,"-й мес")</f>
        <v>37-й год 1-й мес</v>
      </c>
      <c r="C443" s="382" t="n">
        <f aca="false">DATE(YEAR(C442),MONTH(C442)+1,DAY(C442))</f>
        <v>57040</v>
      </c>
      <c r="D443" s="383" t="n">
        <f aca="false">IFERROR(IF(R443*$D$4/100/12/(1-(1+$D$4/100/12)^(-Q443))&lt;G442,ROUNDUP(R443*$D$4/100/12/(1-(1+$D$4/100/12)^(-Q443)),0),G442+F443),0)</f>
        <v>0</v>
      </c>
      <c r="E443" s="384" t="n">
        <f aca="false">D443-F443</f>
        <v>0</v>
      </c>
      <c r="F443" s="384" t="n">
        <f aca="false">G442*$D$4*(C443-C442)/(DATE(YEAR(C443)+1,1,1)-DATE(YEAR(C443),1,1))/100</f>
        <v>0</v>
      </c>
      <c r="G443" s="385" t="n">
        <f aca="false">G442-E443-L443-M443</f>
        <v>0</v>
      </c>
      <c r="H443" s="386" t="n">
        <f aca="false">IFERROR(I443+J443,0)</f>
        <v>0</v>
      </c>
      <c r="I443" s="384" t="n">
        <f aca="false">IFERROR(IF($D$3/$D$5&lt;K442,$D$3/$D$5,K442),0)</f>
        <v>0</v>
      </c>
      <c r="J443" s="384" t="n">
        <f aca="false">K442*$D$4/12/100</f>
        <v>0</v>
      </c>
      <c r="K443" s="387" t="n">
        <f aca="false">K442-I443-L443-M443</f>
        <v>0</v>
      </c>
      <c r="L443" s="388"/>
      <c r="M443" s="389"/>
      <c r="N443" s="409"/>
      <c r="O443" s="409"/>
      <c r="P443" s="391" t="n">
        <f aca="false">IF(ISBLANK(L442),VALUE(P442),ROW(L442))</f>
        <v>10</v>
      </c>
      <c r="Q443" s="314" t="n">
        <f aca="false">Q442+P442-P443</f>
        <v>12</v>
      </c>
      <c r="R443" s="314" t="n">
        <f aca="false">INDEX(G:G,P443,1)</f>
        <v>69000</v>
      </c>
      <c r="S443" s="312"/>
    </row>
    <row r="444" s="379" customFormat="true" ht="14.9" hidden="false" customHeight="false" outlineLevel="0" collapsed="false">
      <c r="A444" s="380" t="n">
        <v>434</v>
      </c>
      <c r="B444" s="381" t="str">
        <f aca="false">CONCATENATE(INT((A444-1)/12)+1,"-й год ",A444-1-INT((A444-1)/12)*12+1,"-й мес")</f>
        <v>37-й год 2-й мес</v>
      </c>
      <c r="C444" s="382" t="n">
        <f aca="false">DATE(YEAR(C443),MONTH(C443)+1,DAY(C443))</f>
        <v>57071</v>
      </c>
      <c r="D444" s="383" t="n">
        <f aca="false">IFERROR(IF(R444*$D$4/100/12/(1-(1+$D$4/100/12)^(-Q444))&lt;G443,ROUNDUP(R444*$D$4/100/12/(1-(1+$D$4/100/12)^(-Q444)),0),G443+F444),0)</f>
        <v>0</v>
      </c>
      <c r="E444" s="384" t="n">
        <f aca="false">D444-F444</f>
        <v>0</v>
      </c>
      <c r="F444" s="384" t="n">
        <f aca="false">G443*$D$4*(C444-C443)/(DATE(YEAR(C444)+1,1,1)-DATE(YEAR(C444),1,1))/100</f>
        <v>0</v>
      </c>
      <c r="G444" s="385" t="n">
        <f aca="false">G443-E444-L444-M444</f>
        <v>0</v>
      </c>
      <c r="H444" s="386" t="n">
        <f aca="false">IFERROR(I444+J444,0)</f>
        <v>0</v>
      </c>
      <c r="I444" s="384" t="n">
        <f aca="false">IFERROR(IF($D$3/$D$5&lt;K443,$D$3/$D$5,K443),0)</f>
        <v>0</v>
      </c>
      <c r="J444" s="384" t="n">
        <f aca="false">K443*$D$4/12/100</f>
        <v>0</v>
      </c>
      <c r="K444" s="387" t="n">
        <f aca="false">K443-I444-L444-M444</f>
        <v>0</v>
      </c>
      <c r="L444" s="388"/>
      <c r="M444" s="389"/>
      <c r="N444" s="409"/>
      <c r="O444" s="409"/>
      <c r="P444" s="391" t="n">
        <f aca="false">IF(ISBLANK(L443),VALUE(P443),ROW(L443))</f>
        <v>10</v>
      </c>
      <c r="Q444" s="314" t="n">
        <f aca="false">Q443+P443-P444</f>
        <v>12</v>
      </c>
      <c r="R444" s="314" t="n">
        <f aca="false">INDEX(G:G,P444,1)</f>
        <v>69000</v>
      </c>
      <c r="S444" s="312"/>
    </row>
    <row r="445" s="379" customFormat="true" ht="14.9" hidden="false" customHeight="false" outlineLevel="0" collapsed="false">
      <c r="A445" s="380" t="n">
        <v>435</v>
      </c>
      <c r="B445" s="381" t="str">
        <f aca="false">CONCATENATE(INT((A445-1)/12)+1,"-й год ",A445-1-INT((A445-1)/12)*12+1,"-й мес")</f>
        <v>37-й год 3-й мес</v>
      </c>
      <c r="C445" s="382" t="n">
        <f aca="false">DATE(YEAR(C444),MONTH(C444)+1,DAY(C444))</f>
        <v>57101</v>
      </c>
      <c r="D445" s="383" t="n">
        <f aca="false">IFERROR(IF(R445*$D$4/100/12/(1-(1+$D$4/100/12)^(-Q445))&lt;G444,ROUNDUP(R445*$D$4/100/12/(1-(1+$D$4/100/12)^(-Q445)),0),G444+F445),0)</f>
        <v>0</v>
      </c>
      <c r="E445" s="384" t="n">
        <f aca="false">D445-F445</f>
        <v>0</v>
      </c>
      <c r="F445" s="384" t="n">
        <f aca="false">G444*$D$4*(C445-C444)/(DATE(YEAR(C445)+1,1,1)-DATE(YEAR(C445),1,1))/100</f>
        <v>0</v>
      </c>
      <c r="G445" s="385" t="n">
        <f aca="false">G444-E445-L445-M445</f>
        <v>0</v>
      </c>
      <c r="H445" s="386" t="n">
        <f aca="false">IFERROR(I445+J445,0)</f>
        <v>0</v>
      </c>
      <c r="I445" s="384" t="n">
        <f aca="false">IFERROR(IF($D$3/$D$5&lt;K444,$D$3/$D$5,K444),0)</f>
        <v>0</v>
      </c>
      <c r="J445" s="384" t="n">
        <f aca="false">K444*$D$4/12/100</f>
        <v>0</v>
      </c>
      <c r="K445" s="387" t="n">
        <f aca="false">K444-I445-L445-M445</f>
        <v>0</v>
      </c>
      <c r="L445" s="388"/>
      <c r="M445" s="389"/>
      <c r="N445" s="409"/>
      <c r="O445" s="409"/>
      <c r="P445" s="391" t="n">
        <f aca="false">IF(ISBLANK(L444),VALUE(P444),ROW(L444))</f>
        <v>10</v>
      </c>
      <c r="Q445" s="314" t="n">
        <f aca="false">Q444+P444-P445</f>
        <v>12</v>
      </c>
      <c r="R445" s="314" t="n">
        <f aca="false">INDEX(G:G,P445,1)</f>
        <v>69000</v>
      </c>
      <c r="S445" s="312"/>
    </row>
    <row r="446" s="379" customFormat="true" ht="14.9" hidden="false" customHeight="false" outlineLevel="0" collapsed="false">
      <c r="A446" s="380" t="n">
        <v>436</v>
      </c>
      <c r="B446" s="381" t="str">
        <f aca="false">CONCATENATE(INT((A446-1)/12)+1,"-й год ",A446-1-INT((A446-1)/12)*12+1,"-й мес")</f>
        <v>37-й год 4-й мес</v>
      </c>
      <c r="C446" s="382" t="n">
        <f aca="false">DATE(YEAR(C445),MONTH(C445)+1,DAY(C445))</f>
        <v>57132</v>
      </c>
      <c r="D446" s="383" t="n">
        <f aca="false">IFERROR(IF(R446*$D$4/100/12/(1-(1+$D$4/100/12)^(-Q446))&lt;G445,ROUNDUP(R446*$D$4/100/12/(1-(1+$D$4/100/12)^(-Q446)),0),G445+F446),0)</f>
        <v>0</v>
      </c>
      <c r="E446" s="384" t="n">
        <f aca="false">D446-F446</f>
        <v>0</v>
      </c>
      <c r="F446" s="384" t="n">
        <f aca="false">G445*$D$4*(C446-C445)/(DATE(YEAR(C446)+1,1,1)-DATE(YEAR(C446),1,1))/100</f>
        <v>0</v>
      </c>
      <c r="G446" s="385" t="n">
        <f aca="false">G445-E446-L446-M446</f>
        <v>0</v>
      </c>
      <c r="H446" s="386" t="n">
        <f aca="false">IFERROR(I446+J446,0)</f>
        <v>0</v>
      </c>
      <c r="I446" s="384" t="n">
        <f aca="false">IFERROR(IF($D$3/$D$5&lt;K445,$D$3/$D$5,K445),0)</f>
        <v>0</v>
      </c>
      <c r="J446" s="384" t="n">
        <f aca="false">K445*$D$4/12/100</f>
        <v>0</v>
      </c>
      <c r="K446" s="387" t="n">
        <f aca="false">K445-I446-L446-M446</f>
        <v>0</v>
      </c>
      <c r="L446" s="388"/>
      <c r="M446" s="389"/>
      <c r="N446" s="409"/>
      <c r="O446" s="409"/>
      <c r="P446" s="391" t="n">
        <f aca="false">IF(ISBLANK(L445),VALUE(P445),ROW(L445))</f>
        <v>10</v>
      </c>
      <c r="Q446" s="314" t="n">
        <f aca="false">Q445+P445-P446</f>
        <v>12</v>
      </c>
      <c r="R446" s="314" t="n">
        <f aca="false">INDEX(G:G,P446,1)</f>
        <v>69000</v>
      </c>
      <c r="S446" s="312"/>
    </row>
    <row r="447" s="379" customFormat="true" ht="14.9" hidden="false" customHeight="false" outlineLevel="0" collapsed="false">
      <c r="A447" s="380" t="n">
        <v>437</v>
      </c>
      <c r="B447" s="381" t="str">
        <f aca="false">CONCATENATE(INT((A447-1)/12)+1,"-й год ",A447-1-INT((A447-1)/12)*12+1,"-й мес")</f>
        <v>37-й год 5-й мес</v>
      </c>
      <c r="C447" s="382" t="n">
        <f aca="false">DATE(YEAR(C446),MONTH(C446)+1,DAY(C446))</f>
        <v>57162</v>
      </c>
      <c r="D447" s="383" t="n">
        <f aca="false">IFERROR(IF(R447*$D$4/100/12/(1-(1+$D$4/100/12)^(-Q447))&lt;G446,ROUNDUP(R447*$D$4/100/12/(1-(1+$D$4/100/12)^(-Q447)),0),G446+F447),0)</f>
        <v>0</v>
      </c>
      <c r="E447" s="384" t="n">
        <f aca="false">D447-F447</f>
        <v>0</v>
      </c>
      <c r="F447" s="384" t="n">
        <f aca="false">G446*$D$4*(C447-C446)/(DATE(YEAR(C447)+1,1,1)-DATE(YEAR(C447),1,1))/100</f>
        <v>0</v>
      </c>
      <c r="G447" s="385" t="n">
        <f aca="false">G446-E447-L447-M447</f>
        <v>0</v>
      </c>
      <c r="H447" s="386" t="n">
        <f aca="false">IFERROR(I447+J447,0)</f>
        <v>0</v>
      </c>
      <c r="I447" s="384" t="n">
        <f aca="false">IFERROR(IF($D$3/$D$5&lt;K446,$D$3/$D$5,K446),0)</f>
        <v>0</v>
      </c>
      <c r="J447" s="384" t="n">
        <f aca="false">K446*$D$4/12/100</f>
        <v>0</v>
      </c>
      <c r="K447" s="387" t="n">
        <f aca="false">K446-I447-L447-M447</f>
        <v>0</v>
      </c>
      <c r="L447" s="388"/>
      <c r="M447" s="389"/>
      <c r="N447" s="409"/>
      <c r="O447" s="409"/>
      <c r="P447" s="391" t="n">
        <f aca="false">IF(ISBLANK(L446),VALUE(P446),ROW(L446))</f>
        <v>10</v>
      </c>
      <c r="Q447" s="314" t="n">
        <f aca="false">Q446+P446-P447</f>
        <v>12</v>
      </c>
      <c r="R447" s="314" t="n">
        <f aca="false">INDEX(G:G,P447,1)</f>
        <v>69000</v>
      </c>
      <c r="S447" s="312"/>
    </row>
    <row r="448" s="379" customFormat="true" ht="14.9" hidden="false" customHeight="false" outlineLevel="0" collapsed="false">
      <c r="A448" s="380" t="n">
        <v>438</v>
      </c>
      <c r="B448" s="381" t="str">
        <f aca="false">CONCATENATE(INT((A448-1)/12)+1,"-й год ",A448-1-INT((A448-1)/12)*12+1,"-й мес")</f>
        <v>37-й год 6-й мес</v>
      </c>
      <c r="C448" s="382" t="n">
        <f aca="false">DATE(YEAR(C447),MONTH(C447)+1,DAY(C447))</f>
        <v>57193</v>
      </c>
      <c r="D448" s="383" t="n">
        <f aca="false">IFERROR(IF(R448*$D$4/100/12/(1-(1+$D$4/100/12)^(-Q448))&lt;G447,ROUNDUP(R448*$D$4/100/12/(1-(1+$D$4/100/12)^(-Q448)),0),G447+F448),0)</f>
        <v>0</v>
      </c>
      <c r="E448" s="384" t="n">
        <f aca="false">D448-F448</f>
        <v>0</v>
      </c>
      <c r="F448" s="384" t="n">
        <f aca="false">G447*$D$4*(C448-C447)/(DATE(YEAR(C448)+1,1,1)-DATE(YEAR(C448),1,1))/100</f>
        <v>0</v>
      </c>
      <c r="G448" s="385" t="n">
        <f aca="false">G447-E448-L448-M448</f>
        <v>0</v>
      </c>
      <c r="H448" s="386" t="n">
        <f aca="false">IFERROR(I448+J448,0)</f>
        <v>0</v>
      </c>
      <c r="I448" s="384" t="n">
        <f aca="false">IFERROR(IF($D$3/$D$5&lt;K447,$D$3/$D$5,K447),0)</f>
        <v>0</v>
      </c>
      <c r="J448" s="384" t="n">
        <f aca="false">K447*$D$4/12/100</f>
        <v>0</v>
      </c>
      <c r="K448" s="387" t="n">
        <f aca="false">K447-I448-L448-M448</f>
        <v>0</v>
      </c>
      <c r="L448" s="388"/>
      <c r="M448" s="389"/>
      <c r="N448" s="409"/>
      <c r="O448" s="409"/>
      <c r="P448" s="391" t="n">
        <f aca="false">IF(ISBLANK(L447),VALUE(P447),ROW(L447))</f>
        <v>10</v>
      </c>
      <c r="Q448" s="314" t="n">
        <f aca="false">Q447+P447-P448</f>
        <v>12</v>
      </c>
      <c r="R448" s="314" t="n">
        <f aca="false">INDEX(G:G,P448,1)</f>
        <v>69000</v>
      </c>
      <c r="S448" s="312"/>
    </row>
    <row r="449" s="379" customFormat="true" ht="14.9" hidden="false" customHeight="false" outlineLevel="0" collapsed="false">
      <c r="A449" s="380" t="n">
        <v>439</v>
      </c>
      <c r="B449" s="381" t="str">
        <f aca="false">CONCATENATE(INT((A449-1)/12)+1,"-й год ",A449-1-INT((A449-1)/12)*12+1,"-й мес")</f>
        <v>37-й год 7-й мес</v>
      </c>
      <c r="C449" s="382" t="n">
        <f aca="false">DATE(YEAR(C448),MONTH(C448)+1,DAY(C448))</f>
        <v>57224</v>
      </c>
      <c r="D449" s="383" t="n">
        <f aca="false">IFERROR(IF(R449*$D$4/100/12/(1-(1+$D$4/100/12)^(-Q449))&lt;G448,ROUNDUP(R449*$D$4/100/12/(1-(1+$D$4/100/12)^(-Q449)),0),G448+F449),0)</f>
        <v>0</v>
      </c>
      <c r="E449" s="384" t="n">
        <f aca="false">D449-F449</f>
        <v>0</v>
      </c>
      <c r="F449" s="384" t="n">
        <f aca="false">G448*$D$4*(C449-C448)/(DATE(YEAR(C449)+1,1,1)-DATE(YEAR(C449),1,1))/100</f>
        <v>0</v>
      </c>
      <c r="G449" s="385" t="n">
        <f aca="false">G448-E449-L449-M449</f>
        <v>0</v>
      </c>
      <c r="H449" s="386" t="n">
        <f aca="false">IFERROR(I449+J449,0)</f>
        <v>0</v>
      </c>
      <c r="I449" s="384" t="n">
        <f aca="false">IFERROR(IF($D$3/$D$5&lt;K448,$D$3/$D$5,K448),0)</f>
        <v>0</v>
      </c>
      <c r="J449" s="384" t="n">
        <f aca="false">K448*$D$4/12/100</f>
        <v>0</v>
      </c>
      <c r="K449" s="387" t="n">
        <f aca="false">K448-I449-L449-M449</f>
        <v>0</v>
      </c>
      <c r="L449" s="388"/>
      <c r="M449" s="389"/>
      <c r="N449" s="409"/>
      <c r="O449" s="409"/>
      <c r="P449" s="391" t="n">
        <f aca="false">IF(ISBLANK(L448),VALUE(P448),ROW(L448))</f>
        <v>10</v>
      </c>
      <c r="Q449" s="314" t="n">
        <f aca="false">Q448+P448-P449</f>
        <v>12</v>
      </c>
      <c r="R449" s="314" t="n">
        <f aca="false">INDEX(G:G,P449,1)</f>
        <v>69000</v>
      </c>
      <c r="S449" s="312"/>
    </row>
    <row r="450" s="379" customFormat="true" ht="14.9" hidden="false" customHeight="false" outlineLevel="0" collapsed="false">
      <c r="A450" s="380" t="n">
        <v>440</v>
      </c>
      <c r="B450" s="381" t="str">
        <f aca="false">CONCATENATE(INT((A450-1)/12)+1,"-й год ",A450-1-INT((A450-1)/12)*12+1,"-й мес")</f>
        <v>37-й год 8-й мес</v>
      </c>
      <c r="C450" s="382" t="n">
        <f aca="false">DATE(YEAR(C449),MONTH(C449)+1,DAY(C449))</f>
        <v>57254</v>
      </c>
      <c r="D450" s="383" t="n">
        <f aca="false">IFERROR(IF(R450*$D$4/100/12/(1-(1+$D$4/100/12)^(-Q450))&lt;G449,ROUNDUP(R450*$D$4/100/12/(1-(1+$D$4/100/12)^(-Q450)),0),G449+F450),0)</f>
        <v>0</v>
      </c>
      <c r="E450" s="384" t="n">
        <f aca="false">D450-F450</f>
        <v>0</v>
      </c>
      <c r="F450" s="384" t="n">
        <f aca="false">G449*$D$4*(C450-C449)/(DATE(YEAR(C450)+1,1,1)-DATE(YEAR(C450),1,1))/100</f>
        <v>0</v>
      </c>
      <c r="G450" s="385" t="n">
        <f aca="false">G449-E450-L450-M450</f>
        <v>0</v>
      </c>
      <c r="H450" s="386" t="n">
        <f aca="false">IFERROR(I450+J450,0)</f>
        <v>0</v>
      </c>
      <c r="I450" s="384" t="n">
        <f aca="false">IFERROR(IF($D$3/$D$5&lt;K449,$D$3/$D$5,K449),0)</f>
        <v>0</v>
      </c>
      <c r="J450" s="384" t="n">
        <f aca="false">K449*$D$4/12/100</f>
        <v>0</v>
      </c>
      <c r="K450" s="387" t="n">
        <f aca="false">K449-I450-L450-M450</f>
        <v>0</v>
      </c>
      <c r="L450" s="388"/>
      <c r="M450" s="389"/>
      <c r="N450" s="409"/>
      <c r="O450" s="409"/>
      <c r="P450" s="391" t="n">
        <f aca="false">IF(ISBLANK(L449),VALUE(P449),ROW(L449))</f>
        <v>10</v>
      </c>
      <c r="Q450" s="314" t="n">
        <f aca="false">Q449+P449-P450</f>
        <v>12</v>
      </c>
      <c r="R450" s="314" t="n">
        <f aca="false">INDEX(G:G,P450,1)</f>
        <v>69000</v>
      </c>
      <c r="S450" s="312"/>
    </row>
    <row r="451" s="379" customFormat="true" ht="14.9" hidden="false" customHeight="false" outlineLevel="0" collapsed="false">
      <c r="A451" s="380" t="n">
        <v>441</v>
      </c>
      <c r="B451" s="381" t="str">
        <f aca="false">CONCATENATE(INT((A451-1)/12)+1,"-й год ",A451-1-INT((A451-1)/12)*12+1,"-й мес")</f>
        <v>37-й год 9-й мес</v>
      </c>
      <c r="C451" s="382" t="n">
        <f aca="false">DATE(YEAR(C450),MONTH(C450)+1,DAY(C450))</f>
        <v>57285</v>
      </c>
      <c r="D451" s="383" t="n">
        <f aca="false">IFERROR(IF(R451*$D$4/100/12/(1-(1+$D$4/100/12)^(-Q451))&lt;G450,ROUNDUP(R451*$D$4/100/12/(1-(1+$D$4/100/12)^(-Q451)),0),G450+F451),0)</f>
        <v>0</v>
      </c>
      <c r="E451" s="384" t="n">
        <f aca="false">D451-F451</f>
        <v>0</v>
      </c>
      <c r="F451" s="384" t="n">
        <f aca="false">G450*$D$4*(C451-C450)/(DATE(YEAR(C451)+1,1,1)-DATE(YEAR(C451),1,1))/100</f>
        <v>0</v>
      </c>
      <c r="G451" s="385" t="n">
        <f aca="false">G450-E451-L451-M451</f>
        <v>0</v>
      </c>
      <c r="H451" s="386" t="n">
        <f aca="false">IFERROR(I451+J451,0)</f>
        <v>0</v>
      </c>
      <c r="I451" s="384" t="n">
        <f aca="false">IFERROR(IF($D$3/$D$5&lt;K450,$D$3/$D$5,K450),0)</f>
        <v>0</v>
      </c>
      <c r="J451" s="384" t="n">
        <f aca="false">K450*$D$4/12/100</f>
        <v>0</v>
      </c>
      <c r="K451" s="387" t="n">
        <f aca="false">K450-I451-L451-M451</f>
        <v>0</v>
      </c>
      <c r="L451" s="388"/>
      <c r="M451" s="389"/>
      <c r="N451" s="409"/>
      <c r="O451" s="409"/>
      <c r="P451" s="391" t="n">
        <f aca="false">IF(ISBLANK(L450),VALUE(P450),ROW(L450))</f>
        <v>10</v>
      </c>
      <c r="Q451" s="314" t="n">
        <f aca="false">Q450+P450-P451</f>
        <v>12</v>
      </c>
      <c r="R451" s="314" t="n">
        <f aca="false">INDEX(G:G,P451,1)</f>
        <v>69000</v>
      </c>
      <c r="S451" s="312"/>
    </row>
    <row r="452" s="379" customFormat="true" ht="14.9" hidden="false" customHeight="false" outlineLevel="0" collapsed="false">
      <c r="A452" s="380" t="n">
        <v>442</v>
      </c>
      <c r="B452" s="381" t="str">
        <f aca="false">CONCATENATE(INT((A452-1)/12)+1,"-й год ",A452-1-INT((A452-1)/12)*12+1,"-й мес")</f>
        <v>37-й год 10-й мес</v>
      </c>
      <c r="C452" s="382" t="n">
        <f aca="false">DATE(YEAR(C451),MONTH(C451)+1,DAY(C451))</f>
        <v>57315</v>
      </c>
      <c r="D452" s="383" t="n">
        <f aca="false">IFERROR(IF(R452*$D$4/100/12/(1-(1+$D$4/100/12)^(-Q452))&lt;G451,ROUNDUP(R452*$D$4/100/12/(1-(1+$D$4/100/12)^(-Q452)),0),G451+F452),0)</f>
        <v>0</v>
      </c>
      <c r="E452" s="384" t="n">
        <f aca="false">D452-F452</f>
        <v>0</v>
      </c>
      <c r="F452" s="384" t="n">
        <f aca="false">G451*$D$4*(C452-C451)/(DATE(YEAR(C452)+1,1,1)-DATE(YEAR(C452),1,1))/100</f>
        <v>0</v>
      </c>
      <c r="G452" s="385" t="n">
        <f aca="false">G451-E452-L452-M452</f>
        <v>0</v>
      </c>
      <c r="H452" s="386" t="n">
        <f aca="false">IFERROR(I452+J452,0)</f>
        <v>0</v>
      </c>
      <c r="I452" s="384" t="n">
        <f aca="false">IFERROR(IF($D$3/$D$5&lt;K451,$D$3/$D$5,K451),0)</f>
        <v>0</v>
      </c>
      <c r="J452" s="384" t="n">
        <f aca="false">K451*$D$4/12/100</f>
        <v>0</v>
      </c>
      <c r="K452" s="387" t="n">
        <f aca="false">K451-I452-L452-M452</f>
        <v>0</v>
      </c>
      <c r="L452" s="388"/>
      <c r="M452" s="389"/>
      <c r="N452" s="409"/>
      <c r="O452" s="409"/>
      <c r="P452" s="391" t="n">
        <f aca="false">IF(ISBLANK(L451),VALUE(P451),ROW(L451))</f>
        <v>10</v>
      </c>
      <c r="Q452" s="314" t="n">
        <f aca="false">Q451+P451-P452</f>
        <v>12</v>
      </c>
      <c r="R452" s="314" t="n">
        <f aca="false">INDEX(G:G,P452,1)</f>
        <v>69000</v>
      </c>
      <c r="S452" s="312"/>
    </row>
    <row r="453" s="379" customFormat="true" ht="14.9" hidden="false" customHeight="false" outlineLevel="0" collapsed="false">
      <c r="A453" s="380" t="n">
        <v>443</v>
      </c>
      <c r="B453" s="381" t="str">
        <f aca="false">CONCATENATE(INT((A453-1)/12)+1,"-й год ",A453-1-INT((A453-1)/12)*12+1,"-й мес")</f>
        <v>37-й год 11-й мес</v>
      </c>
      <c r="C453" s="382" t="n">
        <f aca="false">DATE(YEAR(C452),MONTH(C452)+1,DAY(C452))</f>
        <v>57346</v>
      </c>
      <c r="D453" s="383" t="n">
        <f aca="false">IFERROR(IF(R453*$D$4/100/12/(1-(1+$D$4/100/12)^(-Q453))&lt;G452,ROUNDUP(R453*$D$4/100/12/(1-(1+$D$4/100/12)^(-Q453)),0),G452+F453),0)</f>
        <v>0</v>
      </c>
      <c r="E453" s="384" t="n">
        <f aca="false">D453-F453</f>
        <v>0</v>
      </c>
      <c r="F453" s="384" t="n">
        <f aca="false">G452*$D$4*(C453-C452)/(DATE(YEAR(C453)+1,1,1)-DATE(YEAR(C453),1,1))/100</f>
        <v>0</v>
      </c>
      <c r="G453" s="385" t="n">
        <f aca="false">G452-E453-L453-M453</f>
        <v>0</v>
      </c>
      <c r="H453" s="386" t="n">
        <f aca="false">IFERROR(I453+J453,0)</f>
        <v>0</v>
      </c>
      <c r="I453" s="384" t="n">
        <f aca="false">IFERROR(IF($D$3/$D$5&lt;K452,$D$3/$D$5,K452),0)</f>
        <v>0</v>
      </c>
      <c r="J453" s="384" t="n">
        <f aca="false">K452*$D$4/12/100</f>
        <v>0</v>
      </c>
      <c r="K453" s="387" t="n">
        <f aca="false">K452-I453-L453-M453</f>
        <v>0</v>
      </c>
      <c r="L453" s="388"/>
      <c r="M453" s="389"/>
      <c r="N453" s="409"/>
      <c r="O453" s="409"/>
      <c r="P453" s="391" t="n">
        <f aca="false">IF(ISBLANK(L452),VALUE(P452),ROW(L452))</f>
        <v>10</v>
      </c>
      <c r="Q453" s="314" t="n">
        <f aca="false">Q452+P452-P453</f>
        <v>12</v>
      </c>
      <c r="R453" s="314" t="n">
        <f aca="false">INDEX(G:G,P453,1)</f>
        <v>69000</v>
      </c>
      <c r="S453" s="312"/>
    </row>
    <row r="454" s="379" customFormat="true" ht="14.9" hidden="false" customHeight="false" outlineLevel="0" collapsed="false">
      <c r="A454" s="380" t="n">
        <v>444</v>
      </c>
      <c r="B454" s="392" t="str">
        <f aca="false">CONCATENATE(INT((A454-1)/12)+1,"-й год ",A454-1-INT((A454-1)/12)*12+1,"-й мес")</f>
        <v>37-й год 12-й мес</v>
      </c>
      <c r="C454" s="393" t="n">
        <f aca="false">DATE(YEAR(C453),MONTH(C453)+1,DAY(C453))</f>
        <v>57377</v>
      </c>
      <c r="D454" s="394" t="n">
        <f aca="false">IFERROR(IF(R454*$D$4/100/12/(1-(1+$D$4/100/12)^(-Q454))&lt;G453,ROUNDUP(R454*$D$4/100/12/(1-(1+$D$4/100/12)^(-Q454)),0),G453+F454),0)</f>
        <v>0</v>
      </c>
      <c r="E454" s="395" t="n">
        <f aca="false">D454-F454</f>
        <v>0</v>
      </c>
      <c r="F454" s="395" t="n">
        <f aca="false">G453*$D$4*(C454-C453)/(DATE(YEAR(C454)+1,1,1)-DATE(YEAR(C454),1,1))/100</f>
        <v>0</v>
      </c>
      <c r="G454" s="385" t="n">
        <f aca="false">G453-E454-L454-M454</f>
        <v>0</v>
      </c>
      <c r="H454" s="386" t="n">
        <f aca="false">IFERROR(I454+J454,0)</f>
        <v>0</v>
      </c>
      <c r="I454" s="384" t="n">
        <f aca="false">IFERROR(IF($D$3/$D$5&lt;K453,$D$3/$D$5,K453),0)</f>
        <v>0</v>
      </c>
      <c r="J454" s="384" t="n">
        <f aca="false">K453*$D$4/12/100</f>
        <v>0</v>
      </c>
      <c r="K454" s="387" t="n">
        <f aca="false">K453-I454-L454-M454</f>
        <v>0</v>
      </c>
      <c r="L454" s="388"/>
      <c r="M454" s="389"/>
      <c r="N454" s="409"/>
      <c r="O454" s="409"/>
      <c r="P454" s="391" t="n">
        <f aca="false">IF(ISBLANK(L453),VALUE(P453),ROW(L453))</f>
        <v>10</v>
      </c>
      <c r="Q454" s="314" t="n">
        <f aca="false">Q453+P453-P454</f>
        <v>12</v>
      </c>
      <c r="R454" s="314" t="n">
        <f aca="false">INDEX(G:G,P454,1)</f>
        <v>69000</v>
      </c>
      <c r="S454" s="312"/>
    </row>
    <row r="455" s="379" customFormat="true" ht="14.9" hidden="false" customHeight="false" outlineLevel="0" collapsed="false">
      <c r="A455" s="396" t="n">
        <v>445</v>
      </c>
      <c r="B455" s="381" t="str">
        <f aca="false">CONCATENATE(INT((A455-1)/12)+1,"-й год ",A455-1-INT((A455-1)/12)*12+1,"-й мес")</f>
        <v>38-й год 1-й мес</v>
      </c>
      <c r="C455" s="382" t="n">
        <f aca="false">DATE(YEAR(C454),MONTH(C454)+1,DAY(C454))</f>
        <v>57405</v>
      </c>
      <c r="D455" s="383" t="n">
        <f aca="false">IFERROR(IF(R455*$D$4/100/12/(1-(1+$D$4/100/12)^(-Q455))&lt;G454,ROUNDUP(R455*$D$4/100/12/(1-(1+$D$4/100/12)^(-Q455)),0),G454+F455),0)</f>
        <v>0</v>
      </c>
      <c r="E455" s="384" t="n">
        <f aca="false">D455-F455</f>
        <v>0</v>
      </c>
      <c r="F455" s="384" t="n">
        <f aca="false">G454*$D$4*(C455-C454)/(DATE(YEAR(C455)+1,1,1)-DATE(YEAR(C455),1,1))/100</f>
        <v>0</v>
      </c>
      <c r="G455" s="397" t="n">
        <f aca="false">G454-E455-L455-M455</f>
        <v>0</v>
      </c>
      <c r="H455" s="398" t="n">
        <f aca="false">IFERROR(I455+J455,0)</f>
        <v>0</v>
      </c>
      <c r="I455" s="399" t="n">
        <f aca="false">IFERROR(IF($D$3/$D$5&lt;K454,$D$3/$D$5,K454),0)</f>
        <v>0</v>
      </c>
      <c r="J455" s="399" t="n">
        <f aca="false">K454*$D$4/12/100</f>
        <v>0</v>
      </c>
      <c r="K455" s="400" t="n">
        <f aca="false">K454-I455-L455-M455</f>
        <v>0</v>
      </c>
      <c r="L455" s="401"/>
      <c r="M455" s="402"/>
      <c r="N455" s="409"/>
      <c r="O455" s="409"/>
      <c r="P455" s="391" t="n">
        <f aca="false">IF(ISBLANK(L454),VALUE(P454),ROW(L454))</f>
        <v>10</v>
      </c>
      <c r="Q455" s="314" t="n">
        <f aca="false">Q454+P454-P455</f>
        <v>12</v>
      </c>
      <c r="R455" s="314" t="n">
        <f aca="false">INDEX(G:G,P455,1)</f>
        <v>69000</v>
      </c>
      <c r="S455" s="312"/>
    </row>
    <row r="456" s="379" customFormat="true" ht="14.9" hidden="false" customHeight="false" outlineLevel="0" collapsed="false">
      <c r="A456" s="403" t="n">
        <v>446</v>
      </c>
      <c r="B456" s="381" t="str">
        <f aca="false">CONCATENATE(INT((A456-1)/12)+1,"-й год ",A456-1-INT((A456-1)/12)*12+1,"-й мес")</f>
        <v>38-й год 2-й мес</v>
      </c>
      <c r="C456" s="382" t="n">
        <f aca="false">DATE(YEAR(C455),MONTH(C455)+1,DAY(C455))</f>
        <v>57436</v>
      </c>
      <c r="D456" s="383" t="n">
        <f aca="false">IFERROR(IF(R456*$D$4/100/12/(1-(1+$D$4/100/12)^(-Q456))&lt;G455,ROUNDUP(R456*$D$4/100/12/(1-(1+$D$4/100/12)^(-Q456)),0),G455+F456),0)</f>
        <v>0</v>
      </c>
      <c r="E456" s="384" t="n">
        <f aca="false">D456-F456</f>
        <v>0</v>
      </c>
      <c r="F456" s="384" t="n">
        <f aca="false">G455*$D$4*(C456-C455)/(DATE(YEAR(C456)+1,1,1)-DATE(YEAR(C456),1,1))/100</f>
        <v>0</v>
      </c>
      <c r="G456" s="385" t="n">
        <f aca="false">G455-E456-L456-M456</f>
        <v>0</v>
      </c>
      <c r="H456" s="386" t="n">
        <f aca="false">IFERROR(I456+J456,0)</f>
        <v>0</v>
      </c>
      <c r="I456" s="384" t="n">
        <f aca="false">IFERROR(IF($D$3/$D$5&lt;K455,$D$3/$D$5,K455),0)</f>
        <v>0</v>
      </c>
      <c r="J456" s="384" t="n">
        <f aca="false">K455*$D$4/12/100</f>
        <v>0</v>
      </c>
      <c r="K456" s="387" t="n">
        <f aca="false">K455-I456-L456-M456</f>
        <v>0</v>
      </c>
      <c r="L456" s="388"/>
      <c r="M456" s="389"/>
      <c r="N456" s="409"/>
      <c r="O456" s="409"/>
      <c r="P456" s="391" t="n">
        <f aca="false">IF(ISBLANK(L455),VALUE(P455),ROW(L455))</f>
        <v>10</v>
      </c>
      <c r="Q456" s="314" t="n">
        <f aca="false">Q455+P455-P456</f>
        <v>12</v>
      </c>
      <c r="R456" s="314" t="n">
        <f aca="false">INDEX(G:G,P456,1)</f>
        <v>69000</v>
      </c>
      <c r="S456" s="312"/>
    </row>
    <row r="457" s="379" customFormat="true" ht="14.9" hidden="false" customHeight="false" outlineLevel="0" collapsed="false">
      <c r="A457" s="403" t="n">
        <v>447</v>
      </c>
      <c r="B457" s="381" t="str">
        <f aca="false">CONCATENATE(INT((A457-1)/12)+1,"-й год ",A457-1-INT((A457-1)/12)*12+1,"-й мес")</f>
        <v>38-й год 3-й мес</v>
      </c>
      <c r="C457" s="382" t="n">
        <f aca="false">DATE(YEAR(C456),MONTH(C456)+1,DAY(C456))</f>
        <v>57466</v>
      </c>
      <c r="D457" s="383" t="n">
        <f aca="false">IFERROR(IF(R457*$D$4/100/12/(1-(1+$D$4/100/12)^(-Q457))&lt;G456,ROUNDUP(R457*$D$4/100/12/(1-(1+$D$4/100/12)^(-Q457)),0),G456+F457),0)</f>
        <v>0</v>
      </c>
      <c r="E457" s="384" t="n">
        <f aca="false">D457-F457</f>
        <v>0</v>
      </c>
      <c r="F457" s="384" t="n">
        <f aca="false">G456*$D$4*(C457-C456)/(DATE(YEAR(C457)+1,1,1)-DATE(YEAR(C457),1,1))/100</f>
        <v>0</v>
      </c>
      <c r="G457" s="385" t="n">
        <f aca="false">G456-E457-L457-M457</f>
        <v>0</v>
      </c>
      <c r="H457" s="386" t="n">
        <f aca="false">IFERROR(I457+J457,0)</f>
        <v>0</v>
      </c>
      <c r="I457" s="384" t="n">
        <f aca="false">IFERROR(IF($D$3/$D$5&lt;K456,$D$3/$D$5,K456),0)</f>
        <v>0</v>
      </c>
      <c r="J457" s="384" t="n">
        <f aca="false">K456*$D$4/12/100</f>
        <v>0</v>
      </c>
      <c r="K457" s="387" t="n">
        <f aca="false">K456-I457-L457-M457</f>
        <v>0</v>
      </c>
      <c r="L457" s="388"/>
      <c r="M457" s="389"/>
      <c r="N457" s="409"/>
      <c r="O457" s="409"/>
      <c r="P457" s="391" t="n">
        <f aca="false">IF(ISBLANK(L456),VALUE(P456),ROW(L456))</f>
        <v>10</v>
      </c>
      <c r="Q457" s="314" t="n">
        <f aca="false">Q456+P456-P457</f>
        <v>12</v>
      </c>
      <c r="R457" s="314" t="n">
        <f aca="false">INDEX(G:G,P457,1)</f>
        <v>69000</v>
      </c>
      <c r="S457" s="312"/>
    </row>
    <row r="458" s="379" customFormat="true" ht="14.9" hidden="false" customHeight="false" outlineLevel="0" collapsed="false">
      <c r="A458" s="403" t="n">
        <v>448</v>
      </c>
      <c r="B458" s="381" t="str">
        <f aca="false">CONCATENATE(INT((A458-1)/12)+1,"-й год ",A458-1-INT((A458-1)/12)*12+1,"-й мес")</f>
        <v>38-й год 4-й мес</v>
      </c>
      <c r="C458" s="382" t="n">
        <f aca="false">DATE(YEAR(C457),MONTH(C457)+1,DAY(C457))</f>
        <v>57497</v>
      </c>
      <c r="D458" s="383" t="n">
        <f aca="false">IFERROR(IF(R458*$D$4/100/12/(1-(1+$D$4/100/12)^(-Q458))&lt;G457,ROUNDUP(R458*$D$4/100/12/(1-(1+$D$4/100/12)^(-Q458)),0),G457+F458),0)</f>
        <v>0</v>
      </c>
      <c r="E458" s="384" t="n">
        <f aca="false">D458-F458</f>
        <v>0</v>
      </c>
      <c r="F458" s="384" t="n">
        <f aca="false">G457*$D$4*(C458-C457)/(DATE(YEAR(C458)+1,1,1)-DATE(YEAR(C458),1,1))/100</f>
        <v>0</v>
      </c>
      <c r="G458" s="385" t="n">
        <f aca="false">G457-E458-L458-M458</f>
        <v>0</v>
      </c>
      <c r="H458" s="386" t="n">
        <f aca="false">IFERROR(I458+J458,0)</f>
        <v>0</v>
      </c>
      <c r="I458" s="384" t="n">
        <f aca="false">IFERROR(IF($D$3/$D$5&lt;K457,$D$3/$D$5,K457),0)</f>
        <v>0</v>
      </c>
      <c r="J458" s="384" t="n">
        <f aca="false">K457*$D$4/12/100</f>
        <v>0</v>
      </c>
      <c r="K458" s="387" t="n">
        <f aca="false">K457-I458-L458-M458</f>
        <v>0</v>
      </c>
      <c r="L458" s="388"/>
      <c r="M458" s="389"/>
      <c r="N458" s="409"/>
      <c r="O458" s="409"/>
      <c r="P458" s="391" t="n">
        <f aca="false">IF(ISBLANK(L457),VALUE(P457),ROW(L457))</f>
        <v>10</v>
      </c>
      <c r="Q458" s="314" t="n">
        <f aca="false">Q457+P457-P458</f>
        <v>12</v>
      </c>
      <c r="R458" s="314" t="n">
        <f aca="false">INDEX(G:G,P458,1)</f>
        <v>69000</v>
      </c>
      <c r="S458" s="312"/>
    </row>
    <row r="459" s="379" customFormat="true" ht="14.9" hidden="false" customHeight="false" outlineLevel="0" collapsed="false">
      <c r="A459" s="403" t="n">
        <v>449</v>
      </c>
      <c r="B459" s="381" t="str">
        <f aca="false">CONCATENATE(INT((A459-1)/12)+1,"-й год ",A459-1-INT((A459-1)/12)*12+1,"-й мес")</f>
        <v>38-й год 5-й мес</v>
      </c>
      <c r="C459" s="382" t="n">
        <f aca="false">DATE(YEAR(C458),MONTH(C458)+1,DAY(C458))</f>
        <v>57527</v>
      </c>
      <c r="D459" s="383" t="n">
        <f aca="false">IFERROR(IF(R459*$D$4/100/12/(1-(1+$D$4/100/12)^(-Q459))&lt;G458,ROUNDUP(R459*$D$4/100/12/(1-(1+$D$4/100/12)^(-Q459)),0),G458+F459),0)</f>
        <v>0</v>
      </c>
      <c r="E459" s="384" t="n">
        <f aca="false">D459-F459</f>
        <v>0</v>
      </c>
      <c r="F459" s="384" t="n">
        <f aca="false">G458*$D$4*(C459-C458)/(DATE(YEAR(C459)+1,1,1)-DATE(YEAR(C459),1,1))/100</f>
        <v>0</v>
      </c>
      <c r="G459" s="385" t="n">
        <f aca="false">G458-E459-L459-M459</f>
        <v>0</v>
      </c>
      <c r="H459" s="386" t="n">
        <f aca="false">IFERROR(I459+J459,0)</f>
        <v>0</v>
      </c>
      <c r="I459" s="384" t="n">
        <f aca="false">IFERROR(IF($D$3/$D$5&lt;K458,$D$3/$D$5,K458),0)</f>
        <v>0</v>
      </c>
      <c r="J459" s="384" t="n">
        <f aca="false">K458*$D$4/12/100</f>
        <v>0</v>
      </c>
      <c r="K459" s="387" t="n">
        <f aca="false">K458-I459-L459-M459</f>
        <v>0</v>
      </c>
      <c r="L459" s="388"/>
      <c r="M459" s="389"/>
      <c r="N459" s="409"/>
      <c r="O459" s="409"/>
      <c r="P459" s="391" t="n">
        <f aca="false">IF(ISBLANK(L458),VALUE(P458),ROW(L458))</f>
        <v>10</v>
      </c>
      <c r="Q459" s="314" t="n">
        <f aca="false">Q458+P458-P459</f>
        <v>12</v>
      </c>
      <c r="R459" s="314" t="n">
        <f aca="false">INDEX(G:G,P459,1)</f>
        <v>69000</v>
      </c>
      <c r="S459" s="312"/>
    </row>
    <row r="460" s="379" customFormat="true" ht="14.9" hidden="false" customHeight="false" outlineLevel="0" collapsed="false">
      <c r="A460" s="403" t="n">
        <v>450</v>
      </c>
      <c r="B460" s="381" t="str">
        <f aca="false">CONCATENATE(INT((A460-1)/12)+1,"-й год ",A460-1-INT((A460-1)/12)*12+1,"-й мес")</f>
        <v>38-й год 6-й мес</v>
      </c>
      <c r="C460" s="382" t="n">
        <f aca="false">DATE(YEAR(C459),MONTH(C459)+1,DAY(C459))</f>
        <v>57558</v>
      </c>
      <c r="D460" s="383" t="n">
        <f aca="false">IFERROR(IF(R460*$D$4/100/12/(1-(1+$D$4/100/12)^(-Q460))&lt;G459,ROUNDUP(R460*$D$4/100/12/(1-(1+$D$4/100/12)^(-Q460)),0),G459+F460),0)</f>
        <v>0</v>
      </c>
      <c r="E460" s="384" t="n">
        <f aca="false">D460-F460</f>
        <v>0</v>
      </c>
      <c r="F460" s="384" t="n">
        <f aca="false">G459*$D$4*(C460-C459)/(DATE(YEAR(C460)+1,1,1)-DATE(YEAR(C460),1,1))/100</f>
        <v>0</v>
      </c>
      <c r="G460" s="385" t="n">
        <f aca="false">G459-E460-L460-M460</f>
        <v>0</v>
      </c>
      <c r="H460" s="386" t="n">
        <f aca="false">IFERROR(I460+J460,0)</f>
        <v>0</v>
      </c>
      <c r="I460" s="384" t="n">
        <f aca="false">IFERROR(IF($D$3/$D$5&lt;K459,$D$3/$D$5,K459),0)</f>
        <v>0</v>
      </c>
      <c r="J460" s="384" t="n">
        <f aca="false">K459*$D$4/12/100</f>
        <v>0</v>
      </c>
      <c r="K460" s="387" t="n">
        <f aca="false">K459-I460-L460-M460</f>
        <v>0</v>
      </c>
      <c r="L460" s="388"/>
      <c r="M460" s="389"/>
      <c r="N460" s="409"/>
      <c r="O460" s="409"/>
      <c r="P460" s="391" t="n">
        <f aca="false">IF(ISBLANK(L459),VALUE(P459),ROW(L459))</f>
        <v>10</v>
      </c>
      <c r="Q460" s="314" t="n">
        <f aca="false">Q459+P459-P460</f>
        <v>12</v>
      </c>
      <c r="R460" s="314" t="n">
        <f aca="false">INDEX(G:G,P460,1)</f>
        <v>69000</v>
      </c>
      <c r="S460" s="312"/>
    </row>
    <row r="461" s="379" customFormat="true" ht="14.9" hidden="false" customHeight="false" outlineLevel="0" collapsed="false">
      <c r="A461" s="403" t="n">
        <v>451</v>
      </c>
      <c r="B461" s="381" t="str">
        <f aca="false">CONCATENATE(INT((A461-1)/12)+1,"-й год ",A461-1-INT((A461-1)/12)*12+1,"-й мес")</f>
        <v>38-й год 7-й мес</v>
      </c>
      <c r="C461" s="382" t="n">
        <f aca="false">DATE(YEAR(C460),MONTH(C460)+1,DAY(C460))</f>
        <v>57589</v>
      </c>
      <c r="D461" s="383" t="n">
        <f aca="false">IFERROR(IF(R461*$D$4/100/12/(1-(1+$D$4/100/12)^(-Q461))&lt;G460,ROUNDUP(R461*$D$4/100/12/(1-(1+$D$4/100/12)^(-Q461)),0),G460+F461),0)</f>
        <v>0</v>
      </c>
      <c r="E461" s="384" t="n">
        <f aca="false">D461-F461</f>
        <v>0</v>
      </c>
      <c r="F461" s="384" t="n">
        <f aca="false">G460*$D$4*(C461-C460)/(DATE(YEAR(C461)+1,1,1)-DATE(YEAR(C461),1,1))/100</f>
        <v>0</v>
      </c>
      <c r="G461" s="385" t="n">
        <f aca="false">G460-E461-L461-M461</f>
        <v>0</v>
      </c>
      <c r="H461" s="386" t="n">
        <f aca="false">IFERROR(I461+J461,0)</f>
        <v>0</v>
      </c>
      <c r="I461" s="384" t="n">
        <f aca="false">IFERROR(IF($D$3/$D$5&lt;K460,$D$3/$D$5,K460),0)</f>
        <v>0</v>
      </c>
      <c r="J461" s="384" t="n">
        <f aca="false">K460*$D$4/12/100</f>
        <v>0</v>
      </c>
      <c r="K461" s="387" t="n">
        <f aca="false">K460-I461-L461-M461</f>
        <v>0</v>
      </c>
      <c r="L461" s="388"/>
      <c r="M461" s="389"/>
      <c r="N461" s="409"/>
      <c r="O461" s="409"/>
      <c r="P461" s="391" t="n">
        <f aca="false">IF(ISBLANK(L460),VALUE(P460),ROW(L460))</f>
        <v>10</v>
      </c>
      <c r="Q461" s="314" t="n">
        <f aca="false">Q460+P460-P461</f>
        <v>12</v>
      </c>
      <c r="R461" s="314" t="n">
        <f aca="false">INDEX(G:G,P461,1)</f>
        <v>69000</v>
      </c>
      <c r="S461" s="312"/>
    </row>
    <row r="462" s="379" customFormat="true" ht="14.9" hidden="false" customHeight="false" outlineLevel="0" collapsed="false">
      <c r="A462" s="403" t="n">
        <v>452</v>
      </c>
      <c r="B462" s="381" t="str">
        <f aca="false">CONCATENATE(INT((A462-1)/12)+1,"-й год ",A462-1-INT((A462-1)/12)*12+1,"-й мес")</f>
        <v>38-й год 8-й мес</v>
      </c>
      <c r="C462" s="382" t="n">
        <f aca="false">DATE(YEAR(C461),MONTH(C461)+1,DAY(C461))</f>
        <v>57619</v>
      </c>
      <c r="D462" s="383" t="n">
        <f aca="false">IFERROR(IF(R462*$D$4/100/12/(1-(1+$D$4/100/12)^(-Q462))&lt;G461,ROUNDUP(R462*$D$4/100/12/(1-(1+$D$4/100/12)^(-Q462)),0),G461+F462),0)</f>
        <v>0</v>
      </c>
      <c r="E462" s="384" t="n">
        <f aca="false">D462-F462</f>
        <v>0</v>
      </c>
      <c r="F462" s="384" t="n">
        <f aca="false">G461*$D$4*(C462-C461)/(DATE(YEAR(C462)+1,1,1)-DATE(YEAR(C462),1,1))/100</f>
        <v>0</v>
      </c>
      <c r="G462" s="385" t="n">
        <f aca="false">G461-E462-L462-M462</f>
        <v>0</v>
      </c>
      <c r="H462" s="386" t="n">
        <f aca="false">IFERROR(I462+J462,0)</f>
        <v>0</v>
      </c>
      <c r="I462" s="384" t="n">
        <f aca="false">IFERROR(IF($D$3/$D$5&lt;K461,$D$3/$D$5,K461),0)</f>
        <v>0</v>
      </c>
      <c r="J462" s="384" t="n">
        <f aca="false">K461*$D$4/12/100</f>
        <v>0</v>
      </c>
      <c r="K462" s="387" t="n">
        <f aca="false">K461-I462-L462-M462</f>
        <v>0</v>
      </c>
      <c r="L462" s="388"/>
      <c r="M462" s="389"/>
      <c r="N462" s="409"/>
      <c r="O462" s="409"/>
      <c r="P462" s="391" t="n">
        <f aca="false">IF(ISBLANK(L461),VALUE(P461),ROW(L461))</f>
        <v>10</v>
      </c>
      <c r="Q462" s="314" t="n">
        <f aca="false">Q461+P461-P462</f>
        <v>12</v>
      </c>
      <c r="R462" s="314" t="n">
        <f aca="false">INDEX(G:G,P462,1)</f>
        <v>69000</v>
      </c>
      <c r="S462" s="312"/>
    </row>
    <row r="463" s="379" customFormat="true" ht="14.9" hidden="false" customHeight="false" outlineLevel="0" collapsed="false">
      <c r="A463" s="403" t="n">
        <v>453</v>
      </c>
      <c r="B463" s="381" t="str">
        <f aca="false">CONCATENATE(INT((A463-1)/12)+1,"-й год ",A463-1-INT((A463-1)/12)*12+1,"-й мес")</f>
        <v>38-й год 9-й мес</v>
      </c>
      <c r="C463" s="382" t="n">
        <f aca="false">DATE(YEAR(C462),MONTH(C462)+1,DAY(C462))</f>
        <v>57650</v>
      </c>
      <c r="D463" s="383" t="n">
        <f aca="false">IFERROR(IF(R463*$D$4/100/12/(1-(1+$D$4/100/12)^(-Q463))&lt;G462,ROUNDUP(R463*$D$4/100/12/(1-(1+$D$4/100/12)^(-Q463)),0),G462+F463),0)</f>
        <v>0</v>
      </c>
      <c r="E463" s="384" t="n">
        <f aca="false">D463-F463</f>
        <v>0</v>
      </c>
      <c r="F463" s="384" t="n">
        <f aca="false">G462*$D$4*(C463-C462)/(DATE(YEAR(C463)+1,1,1)-DATE(YEAR(C463),1,1))/100</f>
        <v>0</v>
      </c>
      <c r="G463" s="385" t="n">
        <f aca="false">G462-E463-L463-M463</f>
        <v>0</v>
      </c>
      <c r="H463" s="386" t="n">
        <f aca="false">IFERROR(I463+J463,0)</f>
        <v>0</v>
      </c>
      <c r="I463" s="384" t="n">
        <f aca="false">IFERROR(IF($D$3/$D$5&lt;K462,$D$3/$D$5,K462),0)</f>
        <v>0</v>
      </c>
      <c r="J463" s="384" t="n">
        <f aca="false">K462*$D$4/12/100</f>
        <v>0</v>
      </c>
      <c r="K463" s="387" t="n">
        <f aca="false">K462-I463-L463-M463</f>
        <v>0</v>
      </c>
      <c r="L463" s="388"/>
      <c r="M463" s="389"/>
      <c r="N463" s="409"/>
      <c r="O463" s="409"/>
      <c r="P463" s="391" t="n">
        <f aca="false">IF(ISBLANK(L462),VALUE(P462),ROW(L462))</f>
        <v>10</v>
      </c>
      <c r="Q463" s="314" t="n">
        <f aca="false">Q462+P462-P463</f>
        <v>12</v>
      </c>
      <c r="R463" s="314" t="n">
        <f aca="false">INDEX(G:G,P463,1)</f>
        <v>69000</v>
      </c>
      <c r="S463" s="312"/>
    </row>
    <row r="464" s="379" customFormat="true" ht="14.9" hidden="false" customHeight="false" outlineLevel="0" collapsed="false">
      <c r="A464" s="403" t="n">
        <v>454</v>
      </c>
      <c r="B464" s="381" t="str">
        <f aca="false">CONCATENATE(INT((A464-1)/12)+1,"-й год ",A464-1-INT((A464-1)/12)*12+1,"-й мес")</f>
        <v>38-й год 10-й мес</v>
      </c>
      <c r="C464" s="382" t="n">
        <f aca="false">DATE(YEAR(C463),MONTH(C463)+1,DAY(C463))</f>
        <v>57680</v>
      </c>
      <c r="D464" s="383" t="n">
        <f aca="false">IFERROR(IF(R464*$D$4/100/12/(1-(1+$D$4/100/12)^(-Q464))&lt;G463,ROUNDUP(R464*$D$4/100/12/(1-(1+$D$4/100/12)^(-Q464)),0),G463+F464),0)</f>
        <v>0</v>
      </c>
      <c r="E464" s="384" t="n">
        <f aca="false">D464-F464</f>
        <v>0</v>
      </c>
      <c r="F464" s="384" t="n">
        <f aca="false">G463*$D$4*(C464-C463)/(DATE(YEAR(C464)+1,1,1)-DATE(YEAR(C464),1,1))/100</f>
        <v>0</v>
      </c>
      <c r="G464" s="385" t="n">
        <f aca="false">G463-E464-L464-M464</f>
        <v>0</v>
      </c>
      <c r="H464" s="386" t="n">
        <f aca="false">IFERROR(I464+J464,0)</f>
        <v>0</v>
      </c>
      <c r="I464" s="384" t="n">
        <f aca="false">IFERROR(IF($D$3/$D$5&lt;K463,$D$3/$D$5,K463),0)</f>
        <v>0</v>
      </c>
      <c r="J464" s="384" t="n">
        <f aca="false">K463*$D$4/12/100</f>
        <v>0</v>
      </c>
      <c r="K464" s="387" t="n">
        <f aca="false">K463-I464-L464-M464</f>
        <v>0</v>
      </c>
      <c r="L464" s="388"/>
      <c r="M464" s="389"/>
      <c r="N464" s="409"/>
      <c r="O464" s="409"/>
      <c r="P464" s="391" t="n">
        <f aca="false">IF(ISBLANK(L463),VALUE(P463),ROW(L463))</f>
        <v>10</v>
      </c>
      <c r="Q464" s="314" t="n">
        <f aca="false">Q463+P463-P464</f>
        <v>12</v>
      </c>
      <c r="R464" s="314" t="n">
        <f aca="false">INDEX(G:G,P464,1)</f>
        <v>69000</v>
      </c>
      <c r="S464" s="312"/>
    </row>
    <row r="465" s="379" customFormat="true" ht="14.9" hidden="false" customHeight="false" outlineLevel="0" collapsed="false">
      <c r="A465" s="403" t="n">
        <v>455</v>
      </c>
      <c r="B465" s="381" t="str">
        <f aca="false">CONCATENATE(INT((A465-1)/12)+1,"-й год ",A465-1-INT((A465-1)/12)*12+1,"-й мес")</f>
        <v>38-й год 11-й мес</v>
      </c>
      <c r="C465" s="382" t="n">
        <f aca="false">DATE(YEAR(C464),MONTH(C464)+1,DAY(C464))</f>
        <v>57711</v>
      </c>
      <c r="D465" s="383" t="n">
        <f aca="false">IFERROR(IF(R465*$D$4/100/12/(1-(1+$D$4/100/12)^(-Q465))&lt;G464,ROUNDUP(R465*$D$4/100/12/(1-(1+$D$4/100/12)^(-Q465)),0),G464+F465),0)</f>
        <v>0</v>
      </c>
      <c r="E465" s="384" t="n">
        <f aca="false">D465-F465</f>
        <v>0</v>
      </c>
      <c r="F465" s="384" t="n">
        <f aca="false">G464*$D$4*(C465-C464)/(DATE(YEAR(C465)+1,1,1)-DATE(YEAR(C465),1,1))/100</f>
        <v>0</v>
      </c>
      <c r="G465" s="385" t="n">
        <f aca="false">G464-E465-L465-M465</f>
        <v>0</v>
      </c>
      <c r="H465" s="386" t="n">
        <f aca="false">IFERROR(I465+J465,0)</f>
        <v>0</v>
      </c>
      <c r="I465" s="384" t="n">
        <f aca="false">IFERROR(IF($D$3/$D$5&lt;K464,$D$3/$D$5,K464),0)</f>
        <v>0</v>
      </c>
      <c r="J465" s="384" t="n">
        <f aca="false">K464*$D$4/12/100</f>
        <v>0</v>
      </c>
      <c r="K465" s="387" t="n">
        <f aca="false">K464-I465-L465-M465</f>
        <v>0</v>
      </c>
      <c r="L465" s="388"/>
      <c r="M465" s="389"/>
      <c r="N465" s="409"/>
      <c r="O465" s="409"/>
      <c r="P465" s="391" t="n">
        <f aca="false">IF(ISBLANK(L464),VALUE(P464),ROW(L464))</f>
        <v>10</v>
      </c>
      <c r="Q465" s="314" t="n">
        <f aca="false">Q464+P464-P465</f>
        <v>12</v>
      </c>
      <c r="R465" s="314" t="n">
        <f aca="false">INDEX(G:G,P465,1)</f>
        <v>69000</v>
      </c>
      <c r="S465" s="312"/>
    </row>
    <row r="466" s="379" customFormat="true" ht="14.9" hidden="false" customHeight="false" outlineLevel="0" collapsed="false">
      <c r="A466" s="404" t="n">
        <v>456</v>
      </c>
      <c r="B466" s="392" t="str">
        <f aca="false">CONCATENATE(INT((A466-1)/12)+1,"-й год ",A466-1-INT((A466-1)/12)*12+1,"-й мес")</f>
        <v>38-й год 12-й мес</v>
      </c>
      <c r="C466" s="393" t="n">
        <f aca="false">DATE(YEAR(C465),MONTH(C465)+1,DAY(C465))</f>
        <v>57742</v>
      </c>
      <c r="D466" s="394" t="n">
        <f aca="false">IFERROR(IF(R466*$D$4/100/12/(1-(1+$D$4/100/12)^(-Q466))&lt;G465,ROUNDUP(R466*$D$4/100/12/(1-(1+$D$4/100/12)^(-Q466)),0),G465+F466),0)</f>
        <v>0</v>
      </c>
      <c r="E466" s="395" t="n">
        <f aca="false">D466-F466</f>
        <v>0</v>
      </c>
      <c r="F466" s="395" t="n">
        <f aca="false">G465*$D$4*(C466-C465)/(DATE(YEAR(C466)+1,1,1)-DATE(YEAR(C466),1,1))/100</f>
        <v>0</v>
      </c>
      <c r="G466" s="405" t="n">
        <f aca="false">G465-E466-L466-M466</f>
        <v>0</v>
      </c>
      <c r="H466" s="406" t="n">
        <f aca="false">IFERROR(I466+J466,0)</f>
        <v>0</v>
      </c>
      <c r="I466" s="395" t="n">
        <f aca="false">IFERROR(IF($D$3/$D$5&lt;K465,$D$3/$D$5,K465),0)</f>
        <v>0</v>
      </c>
      <c r="J466" s="395" t="n">
        <f aca="false">K465*$D$4/12/100</f>
        <v>0</v>
      </c>
      <c r="K466" s="407" t="n">
        <f aca="false">K465-I466-L466-M466</f>
        <v>0</v>
      </c>
      <c r="L466" s="408"/>
      <c r="M466" s="410"/>
      <c r="N466" s="409"/>
      <c r="O466" s="409"/>
      <c r="P466" s="391" t="n">
        <f aca="false">IF(ISBLANK(L465),VALUE(P465),ROW(L465))</f>
        <v>10</v>
      </c>
      <c r="Q466" s="314" t="n">
        <f aca="false">Q465+P465-P466</f>
        <v>12</v>
      </c>
      <c r="R466" s="314" t="n">
        <f aca="false">INDEX(G:G,P466,1)</f>
        <v>69000</v>
      </c>
      <c r="S466" s="312"/>
    </row>
    <row r="467" s="379" customFormat="true" ht="14.9" hidden="false" customHeight="false" outlineLevel="0" collapsed="false">
      <c r="A467" s="380" t="n">
        <v>457</v>
      </c>
      <c r="B467" s="381" t="str">
        <f aca="false">CONCATENATE(INT((A467-1)/12)+1,"-й год ",A467-1-INT((A467-1)/12)*12+1,"-й мес")</f>
        <v>39-й год 1-й мес</v>
      </c>
      <c r="C467" s="382" t="n">
        <f aca="false">DATE(YEAR(C466),MONTH(C466)+1,DAY(C466))</f>
        <v>57770</v>
      </c>
      <c r="D467" s="383" t="n">
        <f aca="false">IFERROR(IF(R467*$D$4/100/12/(1-(1+$D$4/100/12)^(-Q467))&lt;G466,ROUNDUP(R467*$D$4/100/12/(1-(1+$D$4/100/12)^(-Q467)),0),G466+F467),0)</f>
        <v>0</v>
      </c>
      <c r="E467" s="384" t="n">
        <f aca="false">D467-F467</f>
        <v>0</v>
      </c>
      <c r="F467" s="384" t="n">
        <f aca="false">G466*$D$4*(C467-C466)/(DATE(YEAR(C467)+1,1,1)-DATE(YEAR(C467),1,1))/100</f>
        <v>0</v>
      </c>
      <c r="G467" s="385" t="n">
        <f aca="false">G466-E467-L467-M467</f>
        <v>0</v>
      </c>
      <c r="H467" s="386" t="n">
        <f aca="false">IFERROR(I467+J467,0)</f>
        <v>0</v>
      </c>
      <c r="I467" s="384" t="n">
        <f aca="false">IFERROR(IF($D$3/$D$5&lt;K466,$D$3/$D$5,K466),0)</f>
        <v>0</v>
      </c>
      <c r="J467" s="384" t="n">
        <f aca="false">K466*$D$4/12/100</f>
        <v>0</v>
      </c>
      <c r="K467" s="387" t="n">
        <f aca="false">K466-I467-L467-M467</f>
        <v>0</v>
      </c>
      <c r="L467" s="388"/>
      <c r="M467" s="389"/>
      <c r="N467" s="409"/>
      <c r="O467" s="409"/>
      <c r="P467" s="391" t="n">
        <f aca="false">IF(ISBLANK(L466),VALUE(P466),ROW(L466))</f>
        <v>10</v>
      </c>
      <c r="Q467" s="314" t="n">
        <f aca="false">Q466+P466-P467</f>
        <v>12</v>
      </c>
      <c r="R467" s="314" t="n">
        <f aca="false">INDEX(G:G,P467,1)</f>
        <v>69000</v>
      </c>
      <c r="S467" s="312"/>
    </row>
    <row r="468" s="379" customFormat="true" ht="14.9" hidden="false" customHeight="false" outlineLevel="0" collapsed="false">
      <c r="A468" s="380" t="n">
        <v>458</v>
      </c>
      <c r="B468" s="381" t="str">
        <f aca="false">CONCATENATE(INT((A468-1)/12)+1,"-й год ",A468-1-INT((A468-1)/12)*12+1,"-й мес")</f>
        <v>39-й год 2-й мес</v>
      </c>
      <c r="C468" s="382" t="n">
        <f aca="false">DATE(YEAR(C467),MONTH(C467)+1,DAY(C467))</f>
        <v>57801</v>
      </c>
      <c r="D468" s="383" t="n">
        <f aca="false">IFERROR(IF(R468*$D$4/100/12/(1-(1+$D$4/100/12)^(-Q468))&lt;G467,ROUNDUP(R468*$D$4/100/12/(1-(1+$D$4/100/12)^(-Q468)),0),G467+F468),0)</f>
        <v>0</v>
      </c>
      <c r="E468" s="384" t="n">
        <f aca="false">D468-F468</f>
        <v>0</v>
      </c>
      <c r="F468" s="384" t="n">
        <f aca="false">G467*$D$4*(C468-C467)/(DATE(YEAR(C468)+1,1,1)-DATE(YEAR(C468),1,1))/100</f>
        <v>0</v>
      </c>
      <c r="G468" s="385" t="n">
        <f aca="false">G467-E468-L468-M468</f>
        <v>0</v>
      </c>
      <c r="H468" s="386" t="n">
        <f aca="false">IFERROR(I468+J468,0)</f>
        <v>0</v>
      </c>
      <c r="I468" s="384" t="n">
        <f aca="false">IFERROR(IF($D$3/$D$5&lt;K467,$D$3/$D$5,K467),0)</f>
        <v>0</v>
      </c>
      <c r="J468" s="384" t="n">
        <f aca="false">K467*$D$4/12/100</f>
        <v>0</v>
      </c>
      <c r="K468" s="387" t="n">
        <f aca="false">K467-I468-L468-M468</f>
        <v>0</v>
      </c>
      <c r="L468" s="388"/>
      <c r="M468" s="389"/>
      <c r="N468" s="409"/>
      <c r="O468" s="409"/>
      <c r="P468" s="391" t="n">
        <f aca="false">IF(ISBLANK(L467),VALUE(P467),ROW(L467))</f>
        <v>10</v>
      </c>
      <c r="Q468" s="314" t="n">
        <f aca="false">Q467+P467-P468</f>
        <v>12</v>
      </c>
      <c r="R468" s="314" t="n">
        <f aca="false">INDEX(G:G,P468,1)</f>
        <v>69000</v>
      </c>
      <c r="S468" s="312"/>
    </row>
    <row r="469" s="379" customFormat="true" ht="14.9" hidden="false" customHeight="false" outlineLevel="0" collapsed="false">
      <c r="A469" s="380" t="n">
        <v>459</v>
      </c>
      <c r="B469" s="381" t="str">
        <f aca="false">CONCATENATE(INT((A469-1)/12)+1,"-й год ",A469-1-INT((A469-1)/12)*12+1,"-й мес")</f>
        <v>39-й год 3-й мес</v>
      </c>
      <c r="C469" s="382" t="n">
        <f aca="false">DATE(YEAR(C468),MONTH(C468)+1,DAY(C468))</f>
        <v>57831</v>
      </c>
      <c r="D469" s="383" t="n">
        <f aca="false">IFERROR(IF(R469*$D$4/100/12/(1-(1+$D$4/100/12)^(-Q469))&lt;G468,ROUNDUP(R469*$D$4/100/12/(1-(1+$D$4/100/12)^(-Q469)),0),G468+F469),0)</f>
        <v>0</v>
      </c>
      <c r="E469" s="384" t="n">
        <f aca="false">D469-F469</f>
        <v>0</v>
      </c>
      <c r="F469" s="384" t="n">
        <f aca="false">G468*$D$4*(C469-C468)/(DATE(YEAR(C469)+1,1,1)-DATE(YEAR(C469),1,1))/100</f>
        <v>0</v>
      </c>
      <c r="G469" s="385" t="n">
        <f aca="false">G468-E469-L469-M469</f>
        <v>0</v>
      </c>
      <c r="H469" s="386" t="n">
        <f aca="false">IFERROR(I469+J469,0)</f>
        <v>0</v>
      </c>
      <c r="I469" s="384" t="n">
        <f aca="false">IFERROR(IF($D$3/$D$5&lt;K468,$D$3/$D$5,K468),0)</f>
        <v>0</v>
      </c>
      <c r="J469" s="384" t="n">
        <f aca="false">K468*$D$4/12/100</f>
        <v>0</v>
      </c>
      <c r="K469" s="387" t="n">
        <f aca="false">K468-I469-L469-M469</f>
        <v>0</v>
      </c>
      <c r="L469" s="388"/>
      <c r="M469" s="389"/>
      <c r="N469" s="409"/>
      <c r="O469" s="409"/>
      <c r="P469" s="391" t="n">
        <f aca="false">IF(ISBLANK(L468),VALUE(P468),ROW(L468))</f>
        <v>10</v>
      </c>
      <c r="Q469" s="314" t="n">
        <f aca="false">Q468+P468-P469</f>
        <v>12</v>
      </c>
      <c r="R469" s="314" t="n">
        <f aca="false">INDEX(G:G,P469,1)</f>
        <v>69000</v>
      </c>
      <c r="S469" s="312"/>
    </row>
    <row r="470" s="379" customFormat="true" ht="14.9" hidden="false" customHeight="false" outlineLevel="0" collapsed="false">
      <c r="A470" s="380" t="n">
        <v>460</v>
      </c>
      <c r="B470" s="381" t="str">
        <f aca="false">CONCATENATE(INT((A470-1)/12)+1,"-й год ",A470-1-INT((A470-1)/12)*12+1,"-й мес")</f>
        <v>39-й год 4-й мес</v>
      </c>
      <c r="C470" s="382" t="n">
        <f aca="false">DATE(YEAR(C469),MONTH(C469)+1,DAY(C469))</f>
        <v>57862</v>
      </c>
      <c r="D470" s="383" t="n">
        <f aca="false">IFERROR(IF(R470*$D$4/100/12/(1-(1+$D$4/100/12)^(-Q470))&lt;G469,ROUNDUP(R470*$D$4/100/12/(1-(1+$D$4/100/12)^(-Q470)),0),G469+F470),0)</f>
        <v>0</v>
      </c>
      <c r="E470" s="384" t="n">
        <f aca="false">D470-F470</f>
        <v>0</v>
      </c>
      <c r="F470" s="384" t="n">
        <f aca="false">G469*$D$4*(C470-C469)/(DATE(YEAR(C470)+1,1,1)-DATE(YEAR(C470),1,1))/100</f>
        <v>0</v>
      </c>
      <c r="G470" s="385" t="n">
        <f aca="false">G469-E470-L470-M470</f>
        <v>0</v>
      </c>
      <c r="H470" s="386" t="n">
        <f aca="false">IFERROR(I470+J470,0)</f>
        <v>0</v>
      </c>
      <c r="I470" s="384" t="n">
        <f aca="false">IFERROR(IF($D$3/$D$5&lt;K469,$D$3/$D$5,K469),0)</f>
        <v>0</v>
      </c>
      <c r="J470" s="384" t="n">
        <f aca="false">K469*$D$4/12/100</f>
        <v>0</v>
      </c>
      <c r="K470" s="387" t="n">
        <f aca="false">K469-I470-L470-M470</f>
        <v>0</v>
      </c>
      <c r="L470" s="388"/>
      <c r="M470" s="389"/>
      <c r="N470" s="409"/>
      <c r="O470" s="409"/>
      <c r="P470" s="391" t="n">
        <f aca="false">IF(ISBLANK(L469),VALUE(P469),ROW(L469))</f>
        <v>10</v>
      </c>
      <c r="Q470" s="314" t="n">
        <f aca="false">Q469+P469-P470</f>
        <v>12</v>
      </c>
      <c r="R470" s="314" t="n">
        <f aca="false">INDEX(G:G,P470,1)</f>
        <v>69000</v>
      </c>
      <c r="S470" s="312"/>
    </row>
    <row r="471" s="379" customFormat="true" ht="14.9" hidden="false" customHeight="false" outlineLevel="0" collapsed="false">
      <c r="A471" s="380" t="n">
        <v>461</v>
      </c>
      <c r="B471" s="381" t="str">
        <f aca="false">CONCATENATE(INT((A471-1)/12)+1,"-й год ",A471-1-INT((A471-1)/12)*12+1,"-й мес")</f>
        <v>39-й год 5-й мес</v>
      </c>
      <c r="C471" s="382" t="n">
        <f aca="false">DATE(YEAR(C470),MONTH(C470)+1,DAY(C470))</f>
        <v>57892</v>
      </c>
      <c r="D471" s="383" t="n">
        <f aca="false">IFERROR(IF(R471*$D$4/100/12/(1-(1+$D$4/100/12)^(-Q471))&lt;G470,ROUNDUP(R471*$D$4/100/12/(1-(1+$D$4/100/12)^(-Q471)),0),G470+F471),0)</f>
        <v>0</v>
      </c>
      <c r="E471" s="384" t="n">
        <f aca="false">D471-F471</f>
        <v>0</v>
      </c>
      <c r="F471" s="384" t="n">
        <f aca="false">G470*$D$4*(C471-C470)/(DATE(YEAR(C471)+1,1,1)-DATE(YEAR(C471),1,1))/100</f>
        <v>0</v>
      </c>
      <c r="G471" s="385" t="n">
        <f aca="false">G470-E471-L471-M471</f>
        <v>0</v>
      </c>
      <c r="H471" s="386" t="n">
        <f aca="false">IFERROR(I471+J471,0)</f>
        <v>0</v>
      </c>
      <c r="I471" s="384" t="n">
        <f aca="false">IFERROR(IF($D$3/$D$5&lt;K470,$D$3/$D$5,K470),0)</f>
        <v>0</v>
      </c>
      <c r="J471" s="384" t="n">
        <f aca="false">K470*$D$4/12/100</f>
        <v>0</v>
      </c>
      <c r="K471" s="387" t="n">
        <f aca="false">K470-I471-L471-M471</f>
        <v>0</v>
      </c>
      <c r="L471" s="388"/>
      <c r="M471" s="389"/>
      <c r="N471" s="409"/>
      <c r="O471" s="409"/>
      <c r="P471" s="391" t="n">
        <f aca="false">IF(ISBLANK(L470),VALUE(P470),ROW(L470))</f>
        <v>10</v>
      </c>
      <c r="Q471" s="314" t="n">
        <f aca="false">Q470+P470-P471</f>
        <v>12</v>
      </c>
      <c r="R471" s="314" t="n">
        <f aca="false">INDEX(G:G,P471,1)</f>
        <v>69000</v>
      </c>
      <c r="S471" s="312"/>
    </row>
    <row r="472" s="379" customFormat="true" ht="14.9" hidden="false" customHeight="false" outlineLevel="0" collapsed="false">
      <c r="A472" s="380" t="n">
        <v>462</v>
      </c>
      <c r="B472" s="381" t="str">
        <f aca="false">CONCATENATE(INT((A472-1)/12)+1,"-й год ",A472-1-INT((A472-1)/12)*12+1,"-й мес")</f>
        <v>39-й год 6-й мес</v>
      </c>
      <c r="C472" s="382" t="n">
        <f aca="false">DATE(YEAR(C471),MONTH(C471)+1,DAY(C471))</f>
        <v>57923</v>
      </c>
      <c r="D472" s="383" t="n">
        <f aca="false">IFERROR(IF(R472*$D$4/100/12/(1-(1+$D$4/100/12)^(-Q472))&lt;G471,ROUNDUP(R472*$D$4/100/12/(1-(1+$D$4/100/12)^(-Q472)),0),G471+F472),0)</f>
        <v>0</v>
      </c>
      <c r="E472" s="384" t="n">
        <f aca="false">D472-F472</f>
        <v>0</v>
      </c>
      <c r="F472" s="384" t="n">
        <f aca="false">G471*$D$4*(C472-C471)/(DATE(YEAR(C472)+1,1,1)-DATE(YEAR(C472),1,1))/100</f>
        <v>0</v>
      </c>
      <c r="G472" s="385" t="n">
        <f aca="false">G471-E472-L472-M472</f>
        <v>0</v>
      </c>
      <c r="H472" s="386" t="n">
        <f aca="false">IFERROR(I472+J472,0)</f>
        <v>0</v>
      </c>
      <c r="I472" s="384" t="n">
        <f aca="false">IFERROR(IF($D$3/$D$5&lt;K471,$D$3/$D$5,K471),0)</f>
        <v>0</v>
      </c>
      <c r="J472" s="384" t="n">
        <f aca="false">K471*$D$4/12/100</f>
        <v>0</v>
      </c>
      <c r="K472" s="387" t="n">
        <f aca="false">K471-I472-L472-M472</f>
        <v>0</v>
      </c>
      <c r="L472" s="388"/>
      <c r="M472" s="389"/>
      <c r="N472" s="409"/>
      <c r="O472" s="409"/>
      <c r="P472" s="391" t="n">
        <f aca="false">IF(ISBLANK(L471),VALUE(P471),ROW(L471))</f>
        <v>10</v>
      </c>
      <c r="Q472" s="314" t="n">
        <f aca="false">Q471+P471-P472</f>
        <v>12</v>
      </c>
      <c r="R472" s="314" t="n">
        <f aca="false">INDEX(G:G,P472,1)</f>
        <v>69000</v>
      </c>
      <c r="S472" s="312"/>
    </row>
    <row r="473" s="379" customFormat="true" ht="14.9" hidden="false" customHeight="false" outlineLevel="0" collapsed="false">
      <c r="A473" s="380" t="n">
        <v>463</v>
      </c>
      <c r="B473" s="381" t="str">
        <f aca="false">CONCATENATE(INT((A473-1)/12)+1,"-й год ",A473-1-INT((A473-1)/12)*12+1,"-й мес")</f>
        <v>39-й год 7-й мес</v>
      </c>
      <c r="C473" s="382" t="n">
        <f aca="false">DATE(YEAR(C472),MONTH(C472)+1,DAY(C472))</f>
        <v>57954</v>
      </c>
      <c r="D473" s="383" t="n">
        <f aca="false">IFERROR(IF(R473*$D$4/100/12/(1-(1+$D$4/100/12)^(-Q473))&lt;G472,ROUNDUP(R473*$D$4/100/12/(1-(1+$D$4/100/12)^(-Q473)),0),G472+F473),0)</f>
        <v>0</v>
      </c>
      <c r="E473" s="384" t="n">
        <f aca="false">D473-F473</f>
        <v>0</v>
      </c>
      <c r="F473" s="384" t="n">
        <f aca="false">G472*$D$4*(C473-C472)/(DATE(YEAR(C473)+1,1,1)-DATE(YEAR(C473),1,1))/100</f>
        <v>0</v>
      </c>
      <c r="G473" s="385" t="n">
        <f aca="false">G472-E473-L473-M473</f>
        <v>0</v>
      </c>
      <c r="H473" s="386" t="n">
        <f aca="false">IFERROR(I473+J473,0)</f>
        <v>0</v>
      </c>
      <c r="I473" s="384" t="n">
        <f aca="false">IFERROR(IF($D$3/$D$5&lt;K472,$D$3/$D$5,K472),0)</f>
        <v>0</v>
      </c>
      <c r="J473" s="384" t="n">
        <f aca="false">K472*$D$4/12/100</f>
        <v>0</v>
      </c>
      <c r="K473" s="387" t="n">
        <f aca="false">K472-I473-L473-M473</f>
        <v>0</v>
      </c>
      <c r="L473" s="388"/>
      <c r="M473" s="389"/>
      <c r="N473" s="409"/>
      <c r="O473" s="409"/>
      <c r="P473" s="391" t="n">
        <f aca="false">IF(ISBLANK(L472),VALUE(P472),ROW(L472))</f>
        <v>10</v>
      </c>
      <c r="Q473" s="314" t="n">
        <f aca="false">Q472+P472-P473</f>
        <v>12</v>
      </c>
      <c r="R473" s="314" t="n">
        <f aca="false">INDEX(G:G,P473,1)</f>
        <v>69000</v>
      </c>
      <c r="S473" s="312"/>
    </row>
    <row r="474" s="379" customFormat="true" ht="14.9" hidden="false" customHeight="false" outlineLevel="0" collapsed="false">
      <c r="A474" s="380" t="n">
        <v>464</v>
      </c>
      <c r="B474" s="381" t="str">
        <f aca="false">CONCATENATE(INT((A474-1)/12)+1,"-й год ",A474-1-INT((A474-1)/12)*12+1,"-й мес")</f>
        <v>39-й год 8-й мес</v>
      </c>
      <c r="C474" s="382" t="n">
        <f aca="false">DATE(YEAR(C473),MONTH(C473)+1,DAY(C473))</f>
        <v>57984</v>
      </c>
      <c r="D474" s="383" t="n">
        <f aca="false">IFERROR(IF(R474*$D$4/100/12/(1-(1+$D$4/100/12)^(-Q474))&lt;G473,ROUNDUP(R474*$D$4/100/12/(1-(1+$D$4/100/12)^(-Q474)),0),G473+F474),0)</f>
        <v>0</v>
      </c>
      <c r="E474" s="384" t="n">
        <f aca="false">D474-F474</f>
        <v>0</v>
      </c>
      <c r="F474" s="384" t="n">
        <f aca="false">G473*$D$4*(C474-C473)/(DATE(YEAR(C474)+1,1,1)-DATE(YEAR(C474),1,1))/100</f>
        <v>0</v>
      </c>
      <c r="G474" s="385" t="n">
        <f aca="false">G473-E474-L474-M474</f>
        <v>0</v>
      </c>
      <c r="H474" s="386" t="n">
        <f aca="false">IFERROR(I474+J474,0)</f>
        <v>0</v>
      </c>
      <c r="I474" s="384" t="n">
        <f aca="false">IFERROR(IF($D$3/$D$5&lt;K473,$D$3/$D$5,K473),0)</f>
        <v>0</v>
      </c>
      <c r="J474" s="384" t="n">
        <f aca="false">K473*$D$4/12/100</f>
        <v>0</v>
      </c>
      <c r="K474" s="387" t="n">
        <f aca="false">K473-I474-L474-M474</f>
        <v>0</v>
      </c>
      <c r="L474" s="388"/>
      <c r="M474" s="389"/>
      <c r="N474" s="409"/>
      <c r="O474" s="409"/>
      <c r="P474" s="391" t="n">
        <f aca="false">IF(ISBLANK(L473),VALUE(P473),ROW(L473))</f>
        <v>10</v>
      </c>
      <c r="Q474" s="314" t="n">
        <f aca="false">Q473+P473-P474</f>
        <v>12</v>
      </c>
      <c r="R474" s="314" t="n">
        <f aca="false">INDEX(G:G,P474,1)</f>
        <v>69000</v>
      </c>
      <c r="S474" s="312"/>
    </row>
    <row r="475" s="379" customFormat="true" ht="14.9" hidden="false" customHeight="false" outlineLevel="0" collapsed="false">
      <c r="A475" s="380" t="n">
        <v>465</v>
      </c>
      <c r="B475" s="381" t="str">
        <f aca="false">CONCATENATE(INT((A475-1)/12)+1,"-й год ",A475-1-INT((A475-1)/12)*12+1,"-й мес")</f>
        <v>39-й год 9-й мес</v>
      </c>
      <c r="C475" s="382" t="n">
        <f aca="false">DATE(YEAR(C474),MONTH(C474)+1,DAY(C474))</f>
        <v>58015</v>
      </c>
      <c r="D475" s="383" t="n">
        <f aca="false">IFERROR(IF(R475*$D$4/100/12/(1-(1+$D$4/100/12)^(-Q475))&lt;G474,ROUNDUP(R475*$D$4/100/12/(1-(1+$D$4/100/12)^(-Q475)),0),G474+F475),0)</f>
        <v>0</v>
      </c>
      <c r="E475" s="384" t="n">
        <f aca="false">D475-F475</f>
        <v>0</v>
      </c>
      <c r="F475" s="384" t="n">
        <f aca="false">G474*$D$4*(C475-C474)/(DATE(YEAR(C475)+1,1,1)-DATE(YEAR(C475),1,1))/100</f>
        <v>0</v>
      </c>
      <c r="G475" s="385" t="n">
        <f aca="false">G474-E475-L475-M475</f>
        <v>0</v>
      </c>
      <c r="H475" s="386" t="n">
        <f aca="false">IFERROR(I475+J475,0)</f>
        <v>0</v>
      </c>
      <c r="I475" s="384" t="n">
        <f aca="false">IFERROR(IF($D$3/$D$5&lt;K474,$D$3/$D$5,K474),0)</f>
        <v>0</v>
      </c>
      <c r="J475" s="384" t="n">
        <f aca="false">K474*$D$4/12/100</f>
        <v>0</v>
      </c>
      <c r="K475" s="387" t="n">
        <f aca="false">K474-I475-L475-M475</f>
        <v>0</v>
      </c>
      <c r="L475" s="388"/>
      <c r="M475" s="389"/>
      <c r="N475" s="409"/>
      <c r="O475" s="409"/>
      <c r="P475" s="391" t="n">
        <f aca="false">IF(ISBLANK(L474),VALUE(P474),ROW(L474))</f>
        <v>10</v>
      </c>
      <c r="Q475" s="314" t="n">
        <f aca="false">Q474+P474-P475</f>
        <v>12</v>
      </c>
      <c r="R475" s="314" t="n">
        <f aca="false">INDEX(G:G,P475,1)</f>
        <v>69000</v>
      </c>
      <c r="S475" s="312"/>
    </row>
    <row r="476" s="379" customFormat="true" ht="14.9" hidden="false" customHeight="false" outlineLevel="0" collapsed="false">
      <c r="A476" s="380" t="n">
        <v>466</v>
      </c>
      <c r="B476" s="381" t="str">
        <f aca="false">CONCATENATE(INT((A476-1)/12)+1,"-й год ",A476-1-INT((A476-1)/12)*12+1,"-й мес")</f>
        <v>39-й год 10-й мес</v>
      </c>
      <c r="C476" s="382" t="n">
        <f aca="false">DATE(YEAR(C475),MONTH(C475)+1,DAY(C475))</f>
        <v>58045</v>
      </c>
      <c r="D476" s="383" t="n">
        <f aca="false">IFERROR(IF(R476*$D$4/100/12/(1-(1+$D$4/100/12)^(-Q476))&lt;G475,ROUNDUP(R476*$D$4/100/12/(1-(1+$D$4/100/12)^(-Q476)),0),G475+F476),0)</f>
        <v>0</v>
      </c>
      <c r="E476" s="384" t="n">
        <f aca="false">D476-F476</f>
        <v>0</v>
      </c>
      <c r="F476" s="384" t="n">
        <f aca="false">G475*$D$4*(C476-C475)/(DATE(YEAR(C476)+1,1,1)-DATE(YEAR(C476),1,1))/100</f>
        <v>0</v>
      </c>
      <c r="G476" s="385" t="n">
        <f aca="false">G475-E476-L476-M476</f>
        <v>0</v>
      </c>
      <c r="H476" s="386" t="n">
        <f aca="false">IFERROR(I476+J476,0)</f>
        <v>0</v>
      </c>
      <c r="I476" s="384" t="n">
        <f aca="false">IFERROR(IF($D$3/$D$5&lt;K475,$D$3/$D$5,K475),0)</f>
        <v>0</v>
      </c>
      <c r="J476" s="384" t="n">
        <f aca="false">K475*$D$4/12/100</f>
        <v>0</v>
      </c>
      <c r="K476" s="387" t="n">
        <f aca="false">K475-I476-L476-M476</f>
        <v>0</v>
      </c>
      <c r="L476" s="388"/>
      <c r="M476" s="389"/>
      <c r="N476" s="409"/>
      <c r="O476" s="409"/>
      <c r="P476" s="391" t="n">
        <f aca="false">IF(ISBLANK(L475),VALUE(P475),ROW(L475))</f>
        <v>10</v>
      </c>
      <c r="Q476" s="314" t="n">
        <f aca="false">Q475+P475-P476</f>
        <v>12</v>
      </c>
      <c r="R476" s="314" t="n">
        <f aca="false">INDEX(G:G,P476,1)</f>
        <v>69000</v>
      </c>
      <c r="S476" s="312"/>
    </row>
    <row r="477" s="379" customFormat="true" ht="14.9" hidden="false" customHeight="false" outlineLevel="0" collapsed="false">
      <c r="A477" s="380" t="n">
        <v>467</v>
      </c>
      <c r="B477" s="381" t="str">
        <f aca="false">CONCATENATE(INT((A477-1)/12)+1,"-й год ",A477-1-INT((A477-1)/12)*12+1,"-й мес")</f>
        <v>39-й год 11-й мес</v>
      </c>
      <c r="C477" s="382" t="n">
        <f aca="false">DATE(YEAR(C476),MONTH(C476)+1,DAY(C476))</f>
        <v>58076</v>
      </c>
      <c r="D477" s="383" t="n">
        <f aca="false">IFERROR(IF(R477*$D$4/100/12/(1-(1+$D$4/100/12)^(-Q477))&lt;G476,ROUNDUP(R477*$D$4/100/12/(1-(1+$D$4/100/12)^(-Q477)),0),G476+F477),0)</f>
        <v>0</v>
      </c>
      <c r="E477" s="384" t="n">
        <f aca="false">D477-F477</f>
        <v>0</v>
      </c>
      <c r="F477" s="384" t="n">
        <f aca="false">G476*$D$4*(C477-C476)/(DATE(YEAR(C477)+1,1,1)-DATE(YEAR(C477),1,1))/100</f>
        <v>0</v>
      </c>
      <c r="G477" s="385" t="n">
        <f aca="false">G476-E477-L477-M477</f>
        <v>0</v>
      </c>
      <c r="H477" s="386" t="n">
        <f aca="false">IFERROR(I477+J477,0)</f>
        <v>0</v>
      </c>
      <c r="I477" s="384" t="n">
        <f aca="false">IFERROR(IF($D$3/$D$5&lt;K476,$D$3/$D$5,K476),0)</f>
        <v>0</v>
      </c>
      <c r="J477" s="384" t="n">
        <f aca="false">K476*$D$4/12/100</f>
        <v>0</v>
      </c>
      <c r="K477" s="387" t="n">
        <f aca="false">K476-I477-L477-M477</f>
        <v>0</v>
      </c>
      <c r="L477" s="388"/>
      <c r="M477" s="389"/>
      <c r="N477" s="409"/>
      <c r="O477" s="409"/>
      <c r="P477" s="391" t="n">
        <f aca="false">IF(ISBLANK(L476),VALUE(P476),ROW(L476))</f>
        <v>10</v>
      </c>
      <c r="Q477" s="314" t="n">
        <f aca="false">Q476+P476-P477</f>
        <v>12</v>
      </c>
      <c r="R477" s="314" t="n">
        <f aca="false">INDEX(G:G,P477,1)</f>
        <v>69000</v>
      </c>
      <c r="S477" s="312"/>
    </row>
    <row r="478" s="379" customFormat="true" ht="14.9" hidden="false" customHeight="false" outlineLevel="0" collapsed="false">
      <c r="A478" s="380" t="n">
        <v>468</v>
      </c>
      <c r="B478" s="392" t="str">
        <f aca="false">CONCATENATE(INT((A478-1)/12)+1,"-й год ",A478-1-INT((A478-1)/12)*12+1,"-й мес")</f>
        <v>39-й год 12-й мес</v>
      </c>
      <c r="C478" s="393" t="n">
        <f aca="false">DATE(YEAR(C477),MONTH(C477)+1,DAY(C477))</f>
        <v>58107</v>
      </c>
      <c r="D478" s="394" t="n">
        <f aca="false">IFERROR(IF(R478*$D$4/100/12/(1-(1+$D$4/100/12)^(-Q478))&lt;G477,ROUNDUP(R478*$D$4/100/12/(1-(1+$D$4/100/12)^(-Q478)),0),G477+F478),0)</f>
        <v>0</v>
      </c>
      <c r="E478" s="395" t="n">
        <f aca="false">D478-F478</f>
        <v>0</v>
      </c>
      <c r="F478" s="395" t="n">
        <f aca="false">G477*$D$4*(C478-C477)/(DATE(YEAR(C478)+1,1,1)-DATE(YEAR(C478),1,1))/100</f>
        <v>0</v>
      </c>
      <c r="G478" s="385" t="n">
        <f aca="false">G477-E478-L478-M478</f>
        <v>0</v>
      </c>
      <c r="H478" s="386" t="n">
        <f aca="false">IFERROR(I478+J478,0)</f>
        <v>0</v>
      </c>
      <c r="I478" s="384" t="n">
        <f aca="false">IFERROR(IF($D$3/$D$5&lt;K477,$D$3/$D$5,K477),0)</f>
        <v>0</v>
      </c>
      <c r="J478" s="384" t="n">
        <f aca="false">K477*$D$4/12/100</f>
        <v>0</v>
      </c>
      <c r="K478" s="387" t="n">
        <f aca="false">K477-I478-L478-M478</f>
        <v>0</v>
      </c>
      <c r="L478" s="388"/>
      <c r="M478" s="389"/>
      <c r="N478" s="409"/>
      <c r="O478" s="409"/>
      <c r="P478" s="391" t="n">
        <f aca="false">IF(ISBLANK(L477),VALUE(P477),ROW(L477))</f>
        <v>10</v>
      </c>
      <c r="Q478" s="314" t="n">
        <f aca="false">Q477+P477-P478</f>
        <v>12</v>
      </c>
      <c r="R478" s="314" t="n">
        <f aca="false">INDEX(G:G,P478,1)</f>
        <v>69000</v>
      </c>
      <c r="S478" s="312"/>
    </row>
    <row r="479" s="379" customFormat="true" ht="14.9" hidden="false" customHeight="false" outlineLevel="0" collapsed="false">
      <c r="A479" s="396" t="n">
        <v>469</v>
      </c>
      <c r="B479" s="381" t="str">
        <f aca="false">CONCATENATE(INT((A479-1)/12)+1,"-й год ",A479-1-INT((A479-1)/12)*12+1,"-й мес")</f>
        <v>40-й год 1-й мес</v>
      </c>
      <c r="C479" s="382" t="n">
        <f aca="false">DATE(YEAR(C478),MONTH(C478)+1,DAY(C478))</f>
        <v>58135</v>
      </c>
      <c r="D479" s="383" t="n">
        <f aca="false">IFERROR(IF(R479*$D$4/100/12/(1-(1+$D$4/100/12)^(-Q479))&lt;G478,ROUNDUP(R479*$D$4/100/12/(1-(1+$D$4/100/12)^(-Q479)),0),G478+F479),0)</f>
        <v>0</v>
      </c>
      <c r="E479" s="384" t="n">
        <f aca="false">D479-F479</f>
        <v>0</v>
      </c>
      <c r="F479" s="384" t="n">
        <f aca="false">G478*$D$4*(C479-C478)/(DATE(YEAR(C479)+1,1,1)-DATE(YEAR(C479),1,1))/100</f>
        <v>0</v>
      </c>
      <c r="G479" s="397" t="n">
        <f aca="false">G478-E479-L479-M479</f>
        <v>0</v>
      </c>
      <c r="H479" s="398" t="n">
        <f aca="false">IFERROR(I479+J479,0)</f>
        <v>0</v>
      </c>
      <c r="I479" s="399" t="n">
        <f aca="false">IFERROR(IF($D$3/$D$5&lt;K478,$D$3/$D$5,K478),0)</f>
        <v>0</v>
      </c>
      <c r="J479" s="399" t="n">
        <f aca="false">K478*$D$4/12/100</f>
        <v>0</v>
      </c>
      <c r="K479" s="400" t="n">
        <f aca="false">K478-I479-L479-M479</f>
        <v>0</v>
      </c>
      <c r="L479" s="401"/>
      <c r="M479" s="402"/>
      <c r="N479" s="409"/>
      <c r="O479" s="409"/>
      <c r="P479" s="391" t="n">
        <f aca="false">IF(ISBLANK(L478),VALUE(P478),ROW(L478))</f>
        <v>10</v>
      </c>
      <c r="Q479" s="314" t="n">
        <f aca="false">Q478+P478-P479</f>
        <v>12</v>
      </c>
      <c r="R479" s="314" t="n">
        <f aca="false">INDEX(G:G,P479,1)</f>
        <v>69000</v>
      </c>
      <c r="S479" s="312"/>
    </row>
    <row r="480" s="379" customFormat="true" ht="14.9" hidden="false" customHeight="false" outlineLevel="0" collapsed="false">
      <c r="A480" s="403" t="n">
        <v>470</v>
      </c>
      <c r="B480" s="381" t="str">
        <f aca="false">CONCATENATE(INT((A480-1)/12)+1,"-й год ",A480-1-INT((A480-1)/12)*12+1,"-й мес")</f>
        <v>40-й год 2-й мес</v>
      </c>
      <c r="C480" s="382" t="n">
        <f aca="false">DATE(YEAR(C479),MONTH(C479)+1,DAY(C479))</f>
        <v>58166</v>
      </c>
      <c r="D480" s="383" t="n">
        <f aca="false">IFERROR(IF(R480*$D$4/100/12/(1-(1+$D$4/100/12)^(-Q480))&lt;G479,ROUNDUP(R480*$D$4/100/12/(1-(1+$D$4/100/12)^(-Q480)),0),G479+F480),0)</f>
        <v>0</v>
      </c>
      <c r="E480" s="384" t="n">
        <f aca="false">D480-F480</f>
        <v>0</v>
      </c>
      <c r="F480" s="384" t="n">
        <f aca="false">G479*$D$4*(C480-C479)/(DATE(YEAR(C480)+1,1,1)-DATE(YEAR(C480),1,1))/100</f>
        <v>0</v>
      </c>
      <c r="G480" s="385" t="n">
        <f aca="false">G479-E480-L480-M480</f>
        <v>0</v>
      </c>
      <c r="H480" s="386" t="n">
        <f aca="false">IFERROR(I480+J480,0)</f>
        <v>0</v>
      </c>
      <c r="I480" s="384" t="n">
        <f aca="false">IFERROR(IF($D$3/$D$5&lt;K479,$D$3/$D$5,K479),0)</f>
        <v>0</v>
      </c>
      <c r="J480" s="384" t="n">
        <f aca="false">K479*$D$4/12/100</f>
        <v>0</v>
      </c>
      <c r="K480" s="387" t="n">
        <f aca="false">K479-I480-L480-M480</f>
        <v>0</v>
      </c>
      <c r="L480" s="388"/>
      <c r="M480" s="389"/>
      <c r="N480" s="409"/>
      <c r="O480" s="409"/>
      <c r="P480" s="391" t="n">
        <f aca="false">IF(ISBLANK(L479),VALUE(P479),ROW(L479))</f>
        <v>10</v>
      </c>
      <c r="Q480" s="314" t="n">
        <f aca="false">Q479+P479-P480</f>
        <v>12</v>
      </c>
      <c r="R480" s="314" t="n">
        <f aca="false">INDEX(G:G,P480,1)</f>
        <v>69000</v>
      </c>
      <c r="S480" s="312"/>
    </row>
    <row r="481" s="379" customFormat="true" ht="14.9" hidden="false" customHeight="false" outlineLevel="0" collapsed="false">
      <c r="A481" s="403" t="n">
        <v>471</v>
      </c>
      <c r="B481" s="381" t="str">
        <f aca="false">CONCATENATE(INT((A481-1)/12)+1,"-й год ",A481-1-INT((A481-1)/12)*12+1,"-й мес")</f>
        <v>40-й год 3-й мес</v>
      </c>
      <c r="C481" s="382" t="n">
        <f aca="false">DATE(YEAR(C480),MONTH(C480)+1,DAY(C480))</f>
        <v>58196</v>
      </c>
      <c r="D481" s="383" t="n">
        <f aca="false">IFERROR(IF(R481*$D$4/100/12/(1-(1+$D$4/100/12)^(-Q481))&lt;G480,ROUNDUP(R481*$D$4/100/12/(1-(1+$D$4/100/12)^(-Q481)),0),G480+F481),0)</f>
        <v>0</v>
      </c>
      <c r="E481" s="384" t="n">
        <f aca="false">D481-F481</f>
        <v>0</v>
      </c>
      <c r="F481" s="384" t="n">
        <f aca="false">G480*$D$4*(C481-C480)/(DATE(YEAR(C481)+1,1,1)-DATE(YEAR(C481),1,1))/100</f>
        <v>0</v>
      </c>
      <c r="G481" s="385" t="n">
        <f aca="false">G480-E481-L481-M481</f>
        <v>0</v>
      </c>
      <c r="H481" s="386" t="n">
        <f aca="false">IFERROR(I481+J481,0)</f>
        <v>0</v>
      </c>
      <c r="I481" s="384" t="n">
        <f aca="false">IFERROR(IF($D$3/$D$5&lt;K480,$D$3/$D$5,K480),0)</f>
        <v>0</v>
      </c>
      <c r="J481" s="384" t="n">
        <f aca="false">K480*$D$4/12/100</f>
        <v>0</v>
      </c>
      <c r="K481" s="387" t="n">
        <f aca="false">K480-I481-L481-M481</f>
        <v>0</v>
      </c>
      <c r="L481" s="388"/>
      <c r="M481" s="389"/>
      <c r="N481" s="409"/>
      <c r="O481" s="409"/>
      <c r="P481" s="391" t="n">
        <f aca="false">IF(ISBLANK(L480),VALUE(P480),ROW(L480))</f>
        <v>10</v>
      </c>
      <c r="Q481" s="314" t="n">
        <f aca="false">Q480+P480-P481</f>
        <v>12</v>
      </c>
      <c r="R481" s="314" t="n">
        <f aca="false">INDEX(G:G,P481,1)</f>
        <v>69000</v>
      </c>
      <c r="S481" s="312"/>
    </row>
    <row r="482" s="379" customFormat="true" ht="14.9" hidden="false" customHeight="false" outlineLevel="0" collapsed="false">
      <c r="A482" s="403" t="n">
        <v>472</v>
      </c>
      <c r="B482" s="381" t="str">
        <f aca="false">CONCATENATE(INT((A482-1)/12)+1,"-й год ",A482-1-INT((A482-1)/12)*12+1,"-й мес")</f>
        <v>40-й год 4-й мес</v>
      </c>
      <c r="C482" s="382" t="n">
        <f aca="false">DATE(YEAR(C481),MONTH(C481)+1,DAY(C481))</f>
        <v>58227</v>
      </c>
      <c r="D482" s="383" t="n">
        <f aca="false">IFERROR(IF(R482*$D$4/100/12/(1-(1+$D$4/100/12)^(-Q482))&lt;G481,ROUNDUP(R482*$D$4/100/12/(1-(1+$D$4/100/12)^(-Q482)),0),G481+F482),0)</f>
        <v>0</v>
      </c>
      <c r="E482" s="384" t="n">
        <f aca="false">D482-F482</f>
        <v>0</v>
      </c>
      <c r="F482" s="384" t="n">
        <f aca="false">G481*$D$4*(C482-C481)/(DATE(YEAR(C482)+1,1,1)-DATE(YEAR(C482),1,1))/100</f>
        <v>0</v>
      </c>
      <c r="G482" s="385" t="n">
        <f aca="false">G481-E482-L482-M482</f>
        <v>0</v>
      </c>
      <c r="H482" s="386" t="n">
        <f aca="false">IFERROR(I482+J482,0)</f>
        <v>0</v>
      </c>
      <c r="I482" s="384" t="n">
        <f aca="false">IFERROR(IF($D$3/$D$5&lt;K481,$D$3/$D$5,K481),0)</f>
        <v>0</v>
      </c>
      <c r="J482" s="384" t="n">
        <f aca="false">K481*$D$4/12/100</f>
        <v>0</v>
      </c>
      <c r="K482" s="387" t="n">
        <f aca="false">K481-I482-L482-M482</f>
        <v>0</v>
      </c>
      <c r="L482" s="388"/>
      <c r="M482" s="389"/>
      <c r="N482" s="409"/>
      <c r="O482" s="409"/>
      <c r="P482" s="391" t="n">
        <f aca="false">IF(ISBLANK(L481),VALUE(P481),ROW(L481))</f>
        <v>10</v>
      </c>
      <c r="Q482" s="314" t="n">
        <f aca="false">Q481+P481-P482</f>
        <v>12</v>
      </c>
      <c r="R482" s="314" t="n">
        <f aca="false">INDEX(G:G,P482,1)</f>
        <v>69000</v>
      </c>
      <c r="S482" s="312"/>
    </row>
    <row r="483" s="379" customFormat="true" ht="14.9" hidden="false" customHeight="false" outlineLevel="0" collapsed="false">
      <c r="A483" s="403" t="n">
        <v>473</v>
      </c>
      <c r="B483" s="381" t="str">
        <f aca="false">CONCATENATE(INT((A483-1)/12)+1,"-й год ",A483-1-INT((A483-1)/12)*12+1,"-й мес")</f>
        <v>40-й год 5-й мес</v>
      </c>
      <c r="C483" s="382" t="n">
        <f aca="false">DATE(YEAR(C482),MONTH(C482)+1,DAY(C482))</f>
        <v>58257</v>
      </c>
      <c r="D483" s="383" t="n">
        <f aca="false">IFERROR(IF(R483*$D$4/100/12/(1-(1+$D$4/100/12)^(-Q483))&lt;G482,ROUNDUP(R483*$D$4/100/12/(1-(1+$D$4/100/12)^(-Q483)),0),G482+F483),0)</f>
        <v>0</v>
      </c>
      <c r="E483" s="384" t="n">
        <f aca="false">D483-F483</f>
        <v>0</v>
      </c>
      <c r="F483" s="384" t="n">
        <f aca="false">G482*$D$4*(C483-C482)/(DATE(YEAR(C483)+1,1,1)-DATE(YEAR(C483),1,1))/100</f>
        <v>0</v>
      </c>
      <c r="G483" s="385" t="n">
        <f aca="false">G482-E483-L483-M483</f>
        <v>0</v>
      </c>
      <c r="H483" s="386" t="n">
        <f aca="false">IFERROR(I483+J483,0)</f>
        <v>0</v>
      </c>
      <c r="I483" s="384" t="n">
        <f aca="false">IFERROR(IF($D$3/$D$5&lt;K482,$D$3/$D$5,K482),0)</f>
        <v>0</v>
      </c>
      <c r="J483" s="384" t="n">
        <f aca="false">K482*$D$4/12/100</f>
        <v>0</v>
      </c>
      <c r="K483" s="387" t="n">
        <f aca="false">K482-I483-L483-M483</f>
        <v>0</v>
      </c>
      <c r="L483" s="388"/>
      <c r="M483" s="389"/>
      <c r="N483" s="409"/>
      <c r="O483" s="409"/>
      <c r="P483" s="391" t="n">
        <f aca="false">IF(ISBLANK(L482),VALUE(P482),ROW(L482))</f>
        <v>10</v>
      </c>
      <c r="Q483" s="314" t="n">
        <f aca="false">Q482+P482-P483</f>
        <v>12</v>
      </c>
      <c r="R483" s="314" t="n">
        <f aca="false">INDEX(G:G,P483,1)</f>
        <v>69000</v>
      </c>
      <c r="S483" s="312"/>
    </row>
    <row r="484" s="379" customFormat="true" ht="14.9" hidden="false" customHeight="false" outlineLevel="0" collapsed="false">
      <c r="A484" s="403" t="n">
        <v>474</v>
      </c>
      <c r="B484" s="381" t="str">
        <f aca="false">CONCATENATE(INT((A484-1)/12)+1,"-й год ",A484-1-INT((A484-1)/12)*12+1,"-й мес")</f>
        <v>40-й год 6-й мес</v>
      </c>
      <c r="C484" s="382" t="n">
        <f aca="false">DATE(YEAR(C483),MONTH(C483)+1,DAY(C483))</f>
        <v>58288</v>
      </c>
      <c r="D484" s="383" t="n">
        <f aca="false">IFERROR(IF(R484*$D$4/100/12/(1-(1+$D$4/100/12)^(-Q484))&lt;G483,ROUNDUP(R484*$D$4/100/12/(1-(1+$D$4/100/12)^(-Q484)),0),G483+F484),0)</f>
        <v>0</v>
      </c>
      <c r="E484" s="384" t="n">
        <f aca="false">D484-F484</f>
        <v>0</v>
      </c>
      <c r="F484" s="384" t="n">
        <f aca="false">G483*$D$4*(C484-C483)/(DATE(YEAR(C484)+1,1,1)-DATE(YEAR(C484),1,1))/100</f>
        <v>0</v>
      </c>
      <c r="G484" s="385" t="n">
        <f aca="false">G483-E484-L484-M484</f>
        <v>0</v>
      </c>
      <c r="H484" s="386" t="n">
        <f aca="false">IFERROR(I484+J484,0)</f>
        <v>0</v>
      </c>
      <c r="I484" s="384" t="n">
        <f aca="false">IFERROR(IF($D$3/$D$5&lt;K483,$D$3/$D$5,K483),0)</f>
        <v>0</v>
      </c>
      <c r="J484" s="384" t="n">
        <f aca="false">K483*$D$4/12/100</f>
        <v>0</v>
      </c>
      <c r="K484" s="387" t="n">
        <f aca="false">K483-I484-L484-M484</f>
        <v>0</v>
      </c>
      <c r="L484" s="388"/>
      <c r="M484" s="389"/>
      <c r="N484" s="409"/>
      <c r="O484" s="409"/>
      <c r="P484" s="391" t="n">
        <f aca="false">IF(ISBLANK(L483),VALUE(P483),ROW(L483))</f>
        <v>10</v>
      </c>
      <c r="Q484" s="314" t="n">
        <f aca="false">Q483+P483-P484</f>
        <v>12</v>
      </c>
      <c r="R484" s="314" t="n">
        <f aca="false">INDEX(G:G,P484,1)</f>
        <v>69000</v>
      </c>
      <c r="S484" s="312"/>
    </row>
    <row r="485" s="379" customFormat="true" ht="14.9" hidden="false" customHeight="false" outlineLevel="0" collapsed="false">
      <c r="A485" s="403" t="n">
        <v>475</v>
      </c>
      <c r="B485" s="381" t="str">
        <f aca="false">CONCATENATE(INT((A485-1)/12)+1,"-й год ",A485-1-INT((A485-1)/12)*12+1,"-й мес")</f>
        <v>40-й год 7-й мес</v>
      </c>
      <c r="C485" s="382" t="n">
        <f aca="false">DATE(YEAR(C484),MONTH(C484)+1,DAY(C484))</f>
        <v>58319</v>
      </c>
      <c r="D485" s="383" t="n">
        <f aca="false">IFERROR(IF(R485*$D$4/100/12/(1-(1+$D$4/100/12)^(-Q485))&lt;G484,ROUNDUP(R485*$D$4/100/12/(1-(1+$D$4/100/12)^(-Q485)),0),G484+F485),0)</f>
        <v>0</v>
      </c>
      <c r="E485" s="384" t="n">
        <f aca="false">D485-F485</f>
        <v>0</v>
      </c>
      <c r="F485" s="384" t="n">
        <f aca="false">G484*$D$4*(C485-C484)/(DATE(YEAR(C485)+1,1,1)-DATE(YEAR(C485),1,1))/100</f>
        <v>0</v>
      </c>
      <c r="G485" s="385" t="n">
        <f aca="false">G484-E485-L485-M485</f>
        <v>0</v>
      </c>
      <c r="H485" s="386" t="n">
        <f aca="false">IFERROR(I485+J485,0)</f>
        <v>0</v>
      </c>
      <c r="I485" s="384" t="n">
        <f aca="false">IFERROR(IF($D$3/$D$5&lt;K484,$D$3/$D$5,K484),0)</f>
        <v>0</v>
      </c>
      <c r="J485" s="384" t="n">
        <f aca="false">K484*$D$4/12/100</f>
        <v>0</v>
      </c>
      <c r="K485" s="387" t="n">
        <f aca="false">K484-I485-L485-M485</f>
        <v>0</v>
      </c>
      <c r="L485" s="388"/>
      <c r="M485" s="389"/>
      <c r="N485" s="409"/>
      <c r="O485" s="409"/>
      <c r="P485" s="391" t="n">
        <f aca="false">IF(ISBLANK(L484),VALUE(P484),ROW(L484))</f>
        <v>10</v>
      </c>
      <c r="Q485" s="314" t="n">
        <f aca="false">Q484+P484-P485</f>
        <v>12</v>
      </c>
      <c r="R485" s="314" t="n">
        <f aca="false">INDEX(G:G,P485,1)</f>
        <v>69000</v>
      </c>
      <c r="S485" s="312"/>
    </row>
    <row r="486" s="379" customFormat="true" ht="14.9" hidden="false" customHeight="false" outlineLevel="0" collapsed="false">
      <c r="A486" s="403" t="n">
        <v>476</v>
      </c>
      <c r="B486" s="381" t="str">
        <f aca="false">CONCATENATE(INT((A486-1)/12)+1,"-й год ",A486-1-INT((A486-1)/12)*12+1,"-й мес")</f>
        <v>40-й год 8-й мес</v>
      </c>
      <c r="C486" s="382" t="n">
        <f aca="false">DATE(YEAR(C485),MONTH(C485)+1,DAY(C485))</f>
        <v>58349</v>
      </c>
      <c r="D486" s="383" t="n">
        <f aca="false">IFERROR(IF(R486*$D$4/100/12/(1-(1+$D$4/100/12)^(-Q486))&lt;G485,ROUNDUP(R486*$D$4/100/12/(1-(1+$D$4/100/12)^(-Q486)),0),G485+F486),0)</f>
        <v>0</v>
      </c>
      <c r="E486" s="384" t="n">
        <f aca="false">D486-F486</f>
        <v>0</v>
      </c>
      <c r="F486" s="384" t="n">
        <f aca="false">G485*$D$4*(C486-C485)/(DATE(YEAR(C486)+1,1,1)-DATE(YEAR(C486),1,1))/100</f>
        <v>0</v>
      </c>
      <c r="G486" s="385" t="n">
        <f aca="false">G485-E486-L486-M486</f>
        <v>0</v>
      </c>
      <c r="H486" s="386" t="n">
        <f aca="false">IFERROR(I486+J486,0)</f>
        <v>0</v>
      </c>
      <c r="I486" s="384" t="n">
        <f aca="false">IFERROR(IF($D$3/$D$5&lt;K485,$D$3/$D$5,K485),0)</f>
        <v>0</v>
      </c>
      <c r="J486" s="384" t="n">
        <f aca="false">K485*$D$4/12/100</f>
        <v>0</v>
      </c>
      <c r="K486" s="387" t="n">
        <f aca="false">K485-I486-L486-M486</f>
        <v>0</v>
      </c>
      <c r="L486" s="388"/>
      <c r="M486" s="389"/>
      <c r="N486" s="409"/>
      <c r="O486" s="409"/>
      <c r="P486" s="391" t="n">
        <f aca="false">IF(ISBLANK(L485),VALUE(P485),ROW(L485))</f>
        <v>10</v>
      </c>
      <c r="Q486" s="314" t="n">
        <f aca="false">Q485+P485-P486</f>
        <v>12</v>
      </c>
      <c r="R486" s="314" t="n">
        <f aca="false">INDEX(G:G,P486,1)</f>
        <v>69000</v>
      </c>
      <c r="S486" s="312"/>
    </row>
    <row r="487" s="379" customFormat="true" ht="14.9" hidden="false" customHeight="false" outlineLevel="0" collapsed="false">
      <c r="A487" s="403" t="n">
        <v>477</v>
      </c>
      <c r="B487" s="381" t="str">
        <f aca="false">CONCATENATE(INT((A487-1)/12)+1,"-й год ",A487-1-INT((A487-1)/12)*12+1,"-й мес")</f>
        <v>40-й год 9-й мес</v>
      </c>
      <c r="C487" s="382" t="n">
        <f aca="false">DATE(YEAR(C486),MONTH(C486)+1,DAY(C486))</f>
        <v>58380</v>
      </c>
      <c r="D487" s="383" t="n">
        <f aca="false">IFERROR(IF(R487*$D$4/100/12/(1-(1+$D$4/100/12)^(-Q487))&lt;G486,ROUNDUP(R487*$D$4/100/12/(1-(1+$D$4/100/12)^(-Q487)),0),G486+F487),0)</f>
        <v>0</v>
      </c>
      <c r="E487" s="384" t="n">
        <f aca="false">D487-F487</f>
        <v>0</v>
      </c>
      <c r="F487" s="384" t="n">
        <f aca="false">G486*$D$4*(C487-C486)/(DATE(YEAR(C487)+1,1,1)-DATE(YEAR(C487),1,1))/100</f>
        <v>0</v>
      </c>
      <c r="G487" s="385" t="n">
        <f aca="false">G486-E487-L487-M487</f>
        <v>0</v>
      </c>
      <c r="H487" s="386" t="n">
        <f aca="false">IFERROR(I487+J487,0)</f>
        <v>0</v>
      </c>
      <c r="I487" s="384" t="n">
        <f aca="false">IFERROR(IF($D$3/$D$5&lt;K486,$D$3/$D$5,K486),0)</f>
        <v>0</v>
      </c>
      <c r="J487" s="384" t="n">
        <f aca="false">K486*$D$4/12/100</f>
        <v>0</v>
      </c>
      <c r="K487" s="387" t="n">
        <f aca="false">K486-I487-L487-M487</f>
        <v>0</v>
      </c>
      <c r="L487" s="388"/>
      <c r="M487" s="389"/>
      <c r="N487" s="409"/>
      <c r="O487" s="409"/>
      <c r="P487" s="391" t="n">
        <f aca="false">IF(ISBLANK(L486),VALUE(P486),ROW(L486))</f>
        <v>10</v>
      </c>
      <c r="Q487" s="314" t="n">
        <f aca="false">Q486+P486-P487</f>
        <v>12</v>
      </c>
      <c r="R487" s="314" t="n">
        <f aca="false">INDEX(G:G,P487,1)</f>
        <v>69000</v>
      </c>
      <c r="S487" s="312"/>
    </row>
    <row r="488" s="379" customFormat="true" ht="14.9" hidden="false" customHeight="false" outlineLevel="0" collapsed="false">
      <c r="A488" s="403" t="n">
        <v>478</v>
      </c>
      <c r="B488" s="381" t="str">
        <f aca="false">CONCATENATE(INT((A488-1)/12)+1,"-й год ",A488-1-INT((A488-1)/12)*12+1,"-й мес")</f>
        <v>40-й год 10-й мес</v>
      </c>
      <c r="C488" s="382" t="n">
        <f aca="false">DATE(YEAR(C487),MONTH(C487)+1,DAY(C487))</f>
        <v>58410</v>
      </c>
      <c r="D488" s="383" t="n">
        <f aca="false">IFERROR(IF(R488*$D$4/100/12/(1-(1+$D$4/100/12)^(-Q488))&lt;G487,ROUNDUP(R488*$D$4/100/12/(1-(1+$D$4/100/12)^(-Q488)),0),G487+F488),0)</f>
        <v>0</v>
      </c>
      <c r="E488" s="384" t="n">
        <f aca="false">D488-F488</f>
        <v>0</v>
      </c>
      <c r="F488" s="384" t="n">
        <f aca="false">G487*$D$4*(C488-C487)/(DATE(YEAR(C488)+1,1,1)-DATE(YEAR(C488),1,1))/100</f>
        <v>0</v>
      </c>
      <c r="G488" s="385" t="n">
        <f aca="false">G487-E488-L488-M488</f>
        <v>0</v>
      </c>
      <c r="H488" s="386" t="n">
        <f aca="false">IFERROR(I488+J488,0)</f>
        <v>0</v>
      </c>
      <c r="I488" s="384" t="n">
        <f aca="false">IFERROR(IF($D$3/$D$5&lt;K487,$D$3/$D$5,K487),0)</f>
        <v>0</v>
      </c>
      <c r="J488" s="384" t="n">
        <f aca="false">K487*$D$4/12/100</f>
        <v>0</v>
      </c>
      <c r="K488" s="387" t="n">
        <f aca="false">K487-I488-L488-M488</f>
        <v>0</v>
      </c>
      <c r="L488" s="388"/>
      <c r="M488" s="389"/>
      <c r="N488" s="409"/>
      <c r="O488" s="409"/>
      <c r="P488" s="391" t="n">
        <f aca="false">IF(ISBLANK(L487),VALUE(P487),ROW(L487))</f>
        <v>10</v>
      </c>
      <c r="Q488" s="314" t="n">
        <f aca="false">Q487+P487-P488</f>
        <v>12</v>
      </c>
      <c r="R488" s="314" t="n">
        <f aca="false">INDEX(G:G,P488,1)</f>
        <v>69000</v>
      </c>
      <c r="S488" s="312"/>
    </row>
    <row r="489" s="379" customFormat="true" ht="14.9" hidden="false" customHeight="false" outlineLevel="0" collapsed="false">
      <c r="A489" s="403" t="n">
        <v>479</v>
      </c>
      <c r="B489" s="381" t="str">
        <f aca="false">CONCATENATE(INT((A489-1)/12)+1,"-й год ",A489-1-INT((A489-1)/12)*12+1,"-й мес")</f>
        <v>40-й год 11-й мес</v>
      </c>
      <c r="C489" s="382" t="n">
        <f aca="false">DATE(YEAR(C488),MONTH(C488)+1,DAY(C488))</f>
        <v>58441</v>
      </c>
      <c r="D489" s="383" t="n">
        <f aca="false">IFERROR(IF(R489*$D$4/100/12/(1-(1+$D$4/100/12)^(-Q489))&lt;G488,ROUNDUP(R489*$D$4/100/12/(1-(1+$D$4/100/12)^(-Q489)),0),G488+F489),0)</f>
        <v>0</v>
      </c>
      <c r="E489" s="384" t="n">
        <f aca="false">D489-F489</f>
        <v>0</v>
      </c>
      <c r="F489" s="384" t="n">
        <f aca="false">G488*$D$4*(C489-C488)/(DATE(YEAR(C489)+1,1,1)-DATE(YEAR(C489),1,1))/100</f>
        <v>0</v>
      </c>
      <c r="G489" s="385" t="n">
        <f aca="false">G488-E489-L489-M489</f>
        <v>0</v>
      </c>
      <c r="H489" s="386" t="n">
        <f aca="false">IFERROR(I489+J489,0)</f>
        <v>0</v>
      </c>
      <c r="I489" s="384" t="n">
        <f aca="false">IFERROR(IF($D$3/$D$5&lt;K488,$D$3/$D$5,K488),0)</f>
        <v>0</v>
      </c>
      <c r="J489" s="384" t="n">
        <f aca="false">K488*$D$4/12/100</f>
        <v>0</v>
      </c>
      <c r="K489" s="387" t="n">
        <f aca="false">K488-I489-L489-M489</f>
        <v>0</v>
      </c>
      <c r="L489" s="388"/>
      <c r="M489" s="389"/>
      <c r="N489" s="409"/>
      <c r="O489" s="409"/>
      <c r="P489" s="391" t="n">
        <f aca="false">IF(ISBLANK(L488),VALUE(P488),ROW(L488))</f>
        <v>10</v>
      </c>
      <c r="Q489" s="314" t="n">
        <f aca="false">Q488+P488-P489</f>
        <v>12</v>
      </c>
      <c r="R489" s="314" t="n">
        <f aca="false">INDEX(G:G,P489,1)</f>
        <v>69000</v>
      </c>
      <c r="S489" s="312"/>
    </row>
    <row r="490" s="379" customFormat="true" ht="14.9" hidden="false" customHeight="false" outlineLevel="0" collapsed="false">
      <c r="A490" s="404" t="n">
        <v>480</v>
      </c>
      <c r="B490" s="392" t="str">
        <f aca="false">CONCATENATE(INT((A490-1)/12)+1,"-й год ",A490-1-INT((A490-1)/12)*12+1,"-й мес")</f>
        <v>40-й год 12-й мес</v>
      </c>
      <c r="C490" s="393" t="n">
        <f aca="false">DATE(YEAR(C489),MONTH(C489)+1,DAY(C489))</f>
        <v>58472</v>
      </c>
      <c r="D490" s="394" t="n">
        <f aca="false">IFERROR(IF(R490*$D$4/100/12/(1-(1+$D$4/100/12)^(-Q490))&lt;G489,ROUNDUP(R490*$D$4/100/12/(1-(1+$D$4/100/12)^(-Q490)),0),G489+F490),0)</f>
        <v>0</v>
      </c>
      <c r="E490" s="395" t="n">
        <f aca="false">D490-F490</f>
        <v>0</v>
      </c>
      <c r="F490" s="395" t="n">
        <f aca="false">G489*$D$4*(C490-C489)/(DATE(YEAR(C490)+1,1,1)-DATE(YEAR(C490),1,1))/100</f>
        <v>0</v>
      </c>
      <c r="G490" s="405" t="n">
        <f aca="false">G489-E490-L490-M490</f>
        <v>0</v>
      </c>
      <c r="H490" s="406" t="n">
        <f aca="false">IFERROR(I490+J490,0)</f>
        <v>0</v>
      </c>
      <c r="I490" s="395" t="n">
        <f aca="false">IFERROR(IF($D$3/$D$5&lt;K489,$D$3/$D$5,K489),0)</f>
        <v>0</v>
      </c>
      <c r="J490" s="395" t="n">
        <f aca="false">K489*$D$4/12/100</f>
        <v>0</v>
      </c>
      <c r="K490" s="407" t="n">
        <f aca="false">K489-I490-L490-M490</f>
        <v>0</v>
      </c>
      <c r="L490" s="408"/>
      <c r="M490" s="410"/>
      <c r="N490" s="409"/>
      <c r="O490" s="409"/>
      <c r="P490" s="391" t="n">
        <f aca="false">IF(ISBLANK(L489),VALUE(P489),ROW(L489))</f>
        <v>10</v>
      </c>
      <c r="Q490" s="314" t="n">
        <f aca="false">Q489+P489-P490</f>
        <v>12</v>
      </c>
      <c r="R490" s="314" t="n">
        <f aca="false">INDEX(G:G,P490,1)</f>
        <v>69000</v>
      </c>
      <c r="S490" s="312"/>
    </row>
    <row r="491" s="379" customFormat="true" ht="14.9" hidden="false" customHeight="false" outlineLevel="0" collapsed="false">
      <c r="A491" s="380" t="n">
        <v>481</v>
      </c>
      <c r="B491" s="381" t="str">
        <f aca="false">CONCATENATE(INT((A491-1)/12)+1,"-й год ",A491-1-INT((A491-1)/12)*12+1,"-й мес")</f>
        <v>41-й год 1-й мес</v>
      </c>
      <c r="C491" s="382" t="n">
        <f aca="false">DATE(YEAR(C490),MONTH(C490)+1,DAY(C490))</f>
        <v>58501</v>
      </c>
      <c r="D491" s="383" t="n">
        <f aca="false">IFERROR(IF(R491*$D$4/100/12/(1-(1+$D$4/100/12)^(-Q491))&lt;G490,ROUNDUP(R491*$D$4/100/12/(1-(1+$D$4/100/12)^(-Q491)),0),G490+F491),0)</f>
        <v>0</v>
      </c>
      <c r="E491" s="384" t="n">
        <f aca="false">D491-F491</f>
        <v>0</v>
      </c>
      <c r="F491" s="384" t="n">
        <f aca="false">G490*$D$4*(C491-C490)/(DATE(YEAR(C491)+1,1,1)-DATE(YEAR(C491),1,1))/100</f>
        <v>0</v>
      </c>
      <c r="G491" s="385" t="n">
        <f aca="false">G490-E491-L491-M491</f>
        <v>0</v>
      </c>
      <c r="H491" s="386" t="n">
        <f aca="false">IFERROR(I491+J491,0)</f>
        <v>0</v>
      </c>
      <c r="I491" s="384" t="n">
        <f aca="false">IFERROR(IF($D$3/$D$5&lt;K490,$D$3/$D$5,K490),0)</f>
        <v>0</v>
      </c>
      <c r="J491" s="384" t="n">
        <f aca="false">K490*$D$4/12/100</f>
        <v>0</v>
      </c>
      <c r="K491" s="387" t="n">
        <f aca="false">K490-I491-L491-M491</f>
        <v>0</v>
      </c>
      <c r="L491" s="388"/>
      <c r="M491" s="389"/>
      <c r="N491" s="409"/>
      <c r="O491" s="409"/>
      <c r="P491" s="391" t="n">
        <f aca="false">IF(ISBLANK(L490),VALUE(P490),ROW(L490))</f>
        <v>10</v>
      </c>
      <c r="Q491" s="314" t="n">
        <f aca="false">Q490+P490-P491</f>
        <v>12</v>
      </c>
      <c r="R491" s="314" t="n">
        <f aca="false">INDEX(G:G,P491,1)</f>
        <v>69000</v>
      </c>
      <c r="S491" s="312"/>
    </row>
    <row r="492" s="379" customFormat="true" ht="14.9" hidden="false" customHeight="false" outlineLevel="0" collapsed="false">
      <c r="A492" s="380" t="n">
        <v>482</v>
      </c>
      <c r="B492" s="381" t="str">
        <f aca="false">CONCATENATE(INT((A492-1)/12)+1,"-й год ",A492-1-INT((A492-1)/12)*12+1,"-й мес")</f>
        <v>41-й год 2-й мес</v>
      </c>
      <c r="C492" s="382" t="n">
        <f aca="false">DATE(YEAR(C491),MONTH(C491)+1,DAY(C491))</f>
        <v>58532</v>
      </c>
      <c r="D492" s="383" t="n">
        <f aca="false">IFERROR(IF(R492*$D$4/100/12/(1-(1+$D$4/100/12)^(-Q492))&lt;G491,ROUNDUP(R492*$D$4/100/12/(1-(1+$D$4/100/12)^(-Q492)),0),G491+F492),0)</f>
        <v>0</v>
      </c>
      <c r="E492" s="384" t="n">
        <f aca="false">D492-F492</f>
        <v>0</v>
      </c>
      <c r="F492" s="384" t="n">
        <f aca="false">G491*$D$4*(C492-C491)/(DATE(YEAR(C492)+1,1,1)-DATE(YEAR(C492),1,1))/100</f>
        <v>0</v>
      </c>
      <c r="G492" s="385" t="n">
        <f aca="false">G491-E492-L492-M492</f>
        <v>0</v>
      </c>
      <c r="H492" s="386" t="n">
        <f aca="false">IFERROR(I492+J492,0)</f>
        <v>0</v>
      </c>
      <c r="I492" s="384" t="n">
        <f aca="false">IFERROR(IF($D$3/$D$5&lt;K491,$D$3/$D$5,K491),0)</f>
        <v>0</v>
      </c>
      <c r="J492" s="384" t="n">
        <f aca="false">K491*$D$4/12/100</f>
        <v>0</v>
      </c>
      <c r="K492" s="387" t="n">
        <f aca="false">K491-I492-L492-M492</f>
        <v>0</v>
      </c>
      <c r="L492" s="388"/>
      <c r="M492" s="389"/>
      <c r="N492" s="409"/>
      <c r="O492" s="409"/>
      <c r="P492" s="391" t="n">
        <f aca="false">IF(ISBLANK(L491),VALUE(P491),ROW(L491))</f>
        <v>10</v>
      </c>
      <c r="Q492" s="314" t="n">
        <f aca="false">Q491+P491-P492</f>
        <v>12</v>
      </c>
      <c r="R492" s="314" t="n">
        <f aca="false">INDEX(G:G,P492,1)</f>
        <v>69000</v>
      </c>
      <c r="S492" s="312"/>
    </row>
    <row r="493" s="379" customFormat="true" ht="14.9" hidden="false" customHeight="false" outlineLevel="0" collapsed="false">
      <c r="A493" s="380" t="n">
        <v>483</v>
      </c>
      <c r="B493" s="381" t="str">
        <f aca="false">CONCATENATE(INT((A493-1)/12)+1,"-й год ",A493-1-INT((A493-1)/12)*12+1,"-й мес")</f>
        <v>41-й год 3-й мес</v>
      </c>
      <c r="C493" s="382" t="n">
        <f aca="false">DATE(YEAR(C492),MONTH(C492)+1,DAY(C492))</f>
        <v>58562</v>
      </c>
      <c r="D493" s="383" t="n">
        <f aca="false">IFERROR(IF(R493*$D$4/100/12/(1-(1+$D$4/100/12)^(-Q493))&lt;G492,ROUNDUP(R493*$D$4/100/12/(1-(1+$D$4/100/12)^(-Q493)),0),G492+F493),0)</f>
        <v>0</v>
      </c>
      <c r="E493" s="384" t="n">
        <f aca="false">D493-F493</f>
        <v>0</v>
      </c>
      <c r="F493" s="384" t="n">
        <f aca="false">G492*$D$4*(C493-C492)/(DATE(YEAR(C493)+1,1,1)-DATE(YEAR(C493),1,1))/100</f>
        <v>0</v>
      </c>
      <c r="G493" s="385" t="n">
        <f aca="false">G492-E493-L493-M493</f>
        <v>0</v>
      </c>
      <c r="H493" s="386" t="n">
        <f aca="false">IFERROR(I493+J493,0)</f>
        <v>0</v>
      </c>
      <c r="I493" s="384" t="n">
        <f aca="false">IFERROR(IF($D$3/$D$5&lt;K492,$D$3/$D$5,K492),0)</f>
        <v>0</v>
      </c>
      <c r="J493" s="384" t="n">
        <f aca="false">K492*$D$4/12/100</f>
        <v>0</v>
      </c>
      <c r="K493" s="387" t="n">
        <f aca="false">K492-I493-L493-M493</f>
        <v>0</v>
      </c>
      <c r="L493" s="388"/>
      <c r="M493" s="389"/>
      <c r="N493" s="409"/>
      <c r="O493" s="409"/>
      <c r="P493" s="391" t="n">
        <f aca="false">IF(ISBLANK(L492),VALUE(P492),ROW(L492))</f>
        <v>10</v>
      </c>
      <c r="Q493" s="314" t="n">
        <f aca="false">Q492+P492-P493</f>
        <v>12</v>
      </c>
      <c r="R493" s="314" t="n">
        <f aca="false">INDEX(G:G,P493,1)</f>
        <v>69000</v>
      </c>
      <c r="S493" s="312"/>
    </row>
    <row r="494" s="379" customFormat="true" ht="14.9" hidden="false" customHeight="false" outlineLevel="0" collapsed="false">
      <c r="A494" s="380" t="n">
        <v>484</v>
      </c>
      <c r="B494" s="381" t="str">
        <f aca="false">CONCATENATE(INT((A494-1)/12)+1,"-й год ",A494-1-INT((A494-1)/12)*12+1,"-й мес")</f>
        <v>41-й год 4-й мес</v>
      </c>
      <c r="C494" s="382" t="n">
        <f aca="false">DATE(YEAR(C493),MONTH(C493)+1,DAY(C493))</f>
        <v>58593</v>
      </c>
      <c r="D494" s="383" t="n">
        <f aca="false">IFERROR(IF(R494*$D$4/100/12/(1-(1+$D$4/100/12)^(-Q494))&lt;G493,ROUNDUP(R494*$D$4/100/12/(1-(1+$D$4/100/12)^(-Q494)),0),G493+F494),0)</f>
        <v>0</v>
      </c>
      <c r="E494" s="384" t="n">
        <f aca="false">D494-F494</f>
        <v>0</v>
      </c>
      <c r="F494" s="384" t="n">
        <f aca="false">G493*$D$4*(C494-C493)/(DATE(YEAR(C494)+1,1,1)-DATE(YEAR(C494),1,1))/100</f>
        <v>0</v>
      </c>
      <c r="G494" s="385" t="n">
        <f aca="false">G493-E494-L494-M494</f>
        <v>0</v>
      </c>
      <c r="H494" s="386" t="n">
        <f aca="false">IFERROR(I494+J494,0)</f>
        <v>0</v>
      </c>
      <c r="I494" s="384" t="n">
        <f aca="false">IFERROR(IF($D$3/$D$5&lt;K493,$D$3/$D$5,K493),0)</f>
        <v>0</v>
      </c>
      <c r="J494" s="384" t="n">
        <f aca="false">K493*$D$4/12/100</f>
        <v>0</v>
      </c>
      <c r="K494" s="387" t="n">
        <f aca="false">K493-I494-L494-M494</f>
        <v>0</v>
      </c>
      <c r="L494" s="388"/>
      <c r="M494" s="389"/>
      <c r="N494" s="409"/>
      <c r="O494" s="409"/>
      <c r="P494" s="391" t="n">
        <f aca="false">IF(ISBLANK(L493),VALUE(P493),ROW(L493))</f>
        <v>10</v>
      </c>
      <c r="Q494" s="314" t="n">
        <f aca="false">Q493+P493-P494</f>
        <v>12</v>
      </c>
      <c r="R494" s="314" t="n">
        <f aca="false">INDEX(G:G,P494,1)</f>
        <v>69000</v>
      </c>
      <c r="S494" s="312"/>
    </row>
    <row r="495" s="379" customFormat="true" ht="14.9" hidden="false" customHeight="false" outlineLevel="0" collapsed="false">
      <c r="A495" s="380" t="n">
        <v>485</v>
      </c>
      <c r="B495" s="381" t="str">
        <f aca="false">CONCATENATE(INT((A495-1)/12)+1,"-й год ",A495-1-INT((A495-1)/12)*12+1,"-й мес")</f>
        <v>41-й год 5-й мес</v>
      </c>
      <c r="C495" s="382" t="n">
        <f aca="false">DATE(YEAR(C494),MONTH(C494)+1,DAY(C494))</f>
        <v>58623</v>
      </c>
      <c r="D495" s="383" t="n">
        <f aca="false">IFERROR(IF(R495*$D$4/100/12/(1-(1+$D$4/100/12)^(-Q495))&lt;G494,ROUNDUP(R495*$D$4/100/12/(1-(1+$D$4/100/12)^(-Q495)),0),G494+F495),0)</f>
        <v>0</v>
      </c>
      <c r="E495" s="384" t="n">
        <f aca="false">D495-F495</f>
        <v>0</v>
      </c>
      <c r="F495" s="384" t="n">
        <f aca="false">G494*$D$4*(C495-C494)/(DATE(YEAR(C495)+1,1,1)-DATE(YEAR(C495),1,1))/100</f>
        <v>0</v>
      </c>
      <c r="G495" s="385" t="n">
        <f aca="false">G494-E495-L495-M495</f>
        <v>0</v>
      </c>
      <c r="H495" s="386" t="n">
        <f aca="false">IFERROR(I495+J495,0)</f>
        <v>0</v>
      </c>
      <c r="I495" s="384" t="n">
        <f aca="false">IFERROR(IF($D$3/$D$5&lt;K494,$D$3/$D$5,K494),0)</f>
        <v>0</v>
      </c>
      <c r="J495" s="384" t="n">
        <f aca="false">K494*$D$4/12/100</f>
        <v>0</v>
      </c>
      <c r="K495" s="387" t="n">
        <f aca="false">K494-I495-L495-M495</f>
        <v>0</v>
      </c>
      <c r="L495" s="388"/>
      <c r="M495" s="389"/>
      <c r="N495" s="409"/>
      <c r="O495" s="409"/>
      <c r="P495" s="391" t="n">
        <f aca="false">IF(ISBLANK(L494),VALUE(P494),ROW(L494))</f>
        <v>10</v>
      </c>
      <c r="Q495" s="314" t="n">
        <f aca="false">Q494+P494-P495</f>
        <v>12</v>
      </c>
      <c r="R495" s="314" t="n">
        <f aca="false">INDEX(G:G,P495,1)</f>
        <v>69000</v>
      </c>
      <c r="S495" s="312"/>
    </row>
    <row r="496" s="379" customFormat="true" ht="14.9" hidden="false" customHeight="false" outlineLevel="0" collapsed="false">
      <c r="A496" s="380" t="n">
        <v>486</v>
      </c>
      <c r="B496" s="381" t="str">
        <f aca="false">CONCATENATE(INT((A496-1)/12)+1,"-й год ",A496-1-INT((A496-1)/12)*12+1,"-й мес")</f>
        <v>41-й год 6-й мес</v>
      </c>
      <c r="C496" s="382" t="n">
        <f aca="false">DATE(YEAR(C495),MONTH(C495)+1,DAY(C495))</f>
        <v>58654</v>
      </c>
      <c r="D496" s="383" t="n">
        <f aca="false">IFERROR(IF(R496*$D$4/100/12/(1-(1+$D$4/100/12)^(-Q496))&lt;G495,ROUNDUP(R496*$D$4/100/12/(1-(1+$D$4/100/12)^(-Q496)),0),G495+F496),0)</f>
        <v>0</v>
      </c>
      <c r="E496" s="384" t="n">
        <f aca="false">D496-F496</f>
        <v>0</v>
      </c>
      <c r="F496" s="384" t="n">
        <f aca="false">G495*$D$4*(C496-C495)/(DATE(YEAR(C496)+1,1,1)-DATE(YEAR(C496),1,1))/100</f>
        <v>0</v>
      </c>
      <c r="G496" s="385" t="n">
        <f aca="false">G495-E496-L496-M496</f>
        <v>0</v>
      </c>
      <c r="H496" s="386" t="n">
        <f aca="false">IFERROR(I496+J496,0)</f>
        <v>0</v>
      </c>
      <c r="I496" s="384" t="n">
        <f aca="false">IFERROR(IF($D$3/$D$5&lt;K495,$D$3/$D$5,K495),0)</f>
        <v>0</v>
      </c>
      <c r="J496" s="384" t="n">
        <f aca="false">K495*$D$4/12/100</f>
        <v>0</v>
      </c>
      <c r="K496" s="387" t="n">
        <f aca="false">K495-I496-L496-M496</f>
        <v>0</v>
      </c>
      <c r="L496" s="388"/>
      <c r="M496" s="389"/>
      <c r="N496" s="409"/>
      <c r="O496" s="409"/>
      <c r="P496" s="391" t="n">
        <f aca="false">IF(ISBLANK(L495),VALUE(P495),ROW(L495))</f>
        <v>10</v>
      </c>
      <c r="Q496" s="314" t="n">
        <f aca="false">Q495+P495-P496</f>
        <v>12</v>
      </c>
      <c r="R496" s="314" t="n">
        <f aca="false">INDEX(G:G,P496,1)</f>
        <v>69000</v>
      </c>
      <c r="S496" s="312"/>
    </row>
    <row r="497" s="379" customFormat="true" ht="14.9" hidden="false" customHeight="false" outlineLevel="0" collapsed="false">
      <c r="A497" s="380" t="n">
        <v>487</v>
      </c>
      <c r="B497" s="381" t="str">
        <f aca="false">CONCATENATE(INT((A497-1)/12)+1,"-й год ",A497-1-INT((A497-1)/12)*12+1,"-й мес")</f>
        <v>41-й год 7-й мес</v>
      </c>
      <c r="C497" s="382" t="n">
        <f aca="false">DATE(YEAR(C496),MONTH(C496)+1,DAY(C496))</f>
        <v>58685</v>
      </c>
      <c r="D497" s="383" t="n">
        <f aca="false">IFERROR(IF(R497*$D$4/100/12/(1-(1+$D$4/100/12)^(-Q497))&lt;G496,ROUNDUP(R497*$D$4/100/12/(1-(1+$D$4/100/12)^(-Q497)),0),G496+F497),0)</f>
        <v>0</v>
      </c>
      <c r="E497" s="384" t="n">
        <f aca="false">D497-F497</f>
        <v>0</v>
      </c>
      <c r="F497" s="384" t="n">
        <f aca="false">G496*$D$4*(C497-C496)/(DATE(YEAR(C497)+1,1,1)-DATE(YEAR(C497),1,1))/100</f>
        <v>0</v>
      </c>
      <c r="G497" s="385" t="n">
        <f aca="false">G496-E497-L497-M497</f>
        <v>0</v>
      </c>
      <c r="H497" s="386" t="n">
        <f aca="false">IFERROR(I497+J497,0)</f>
        <v>0</v>
      </c>
      <c r="I497" s="384" t="n">
        <f aca="false">IFERROR(IF($D$3/$D$5&lt;K496,$D$3/$D$5,K496),0)</f>
        <v>0</v>
      </c>
      <c r="J497" s="384" t="n">
        <f aca="false">K496*$D$4/12/100</f>
        <v>0</v>
      </c>
      <c r="K497" s="387" t="n">
        <f aca="false">K496-I497-L497-M497</f>
        <v>0</v>
      </c>
      <c r="L497" s="388"/>
      <c r="M497" s="389"/>
      <c r="N497" s="409"/>
      <c r="O497" s="409"/>
      <c r="P497" s="391" t="n">
        <f aca="false">IF(ISBLANK(L496),VALUE(P496),ROW(L496))</f>
        <v>10</v>
      </c>
      <c r="Q497" s="314" t="n">
        <f aca="false">Q496+P496-P497</f>
        <v>12</v>
      </c>
      <c r="R497" s="314" t="n">
        <f aca="false">INDEX(G:G,P497,1)</f>
        <v>69000</v>
      </c>
      <c r="S497" s="312"/>
    </row>
    <row r="498" s="379" customFormat="true" ht="14.9" hidden="false" customHeight="false" outlineLevel="0" collapsed="false">
      <c r="A498" s="380" t="n">
        <v>488</v>
      </c>
      <c r="B498" s="381" t="str">
        <f aca="false">CONCATENATE(INT((A498-1)/12)+1,"-й год ",A498-1-INT((A498-1)/12)*12+1,"-й мес")</f>
        <v>41-й год 8-й мес</v>
      </c>
      <c r="C498" s="382" t="n">
        <f aca="false">DATE(YEAR(C497),MONTH(C497)+1,DAY(C497))</f>
        <v>58715</v>
      </c>
      <c r="D498" s="383" t="n">
        <f aca="false">IFERROR(IF(R498*$D$4/100/12/(1-(1+$D$4/100/12)^(-Q498))&lt;G497,ROUNDUP(R498*$D$4/100/12/(1-(1+$D$4/100/12)^(-Q498)),0),G497+F498),0)</f>
        <v>0</v>
      </c>
      <c r="E498" s="384" t="n">
        <f aca="false">D498-F498</f>
        <v>0</v>
      </c>
      <c r="F498" s="384" t="n">
        <f aca="false">G497*$D$4*(C498-C497)/(DATE(YEAR(C498)+1,1,1)-DATE(YEAR(C498),1,1))/100</f>
        <v>0</v>
      </c>
      <c r="G498" s="385" t="n">
        <f aca="false">G497-E498-L498-M498</f>
        <v>0</v>
      </c>
      <c r="H498" s="386" t="n">
        <f aca="false">IFERROR(I498+J498,0)</f>
        <v>0</v>
      </c>
      <c r="I498" s="384" t="n">
        <f aca="false">IFERROR(IF($D$3/$D$5&lt;K497,$D$3/$D$5,K497),0)</f>
        <v>0</v>
      </c>
      <c r="J498" s="384" t="n">
        <f aca="false">K497*$D$4/12/100</f>
        <v>0</v>
      </c>
      <c r="K498" s="387" t="n">
        <f aca="false">K497-I498-L498-M498</f>
        <v>0</v>
      </c>
      <c r="L498" s="388"/>
      <c r="M498" s="389"/>
      <c r="N498" s="409"/>
      <c r="O498" s="409"/>
      <c r="P498" s="391" t="n">
        <f aca="false">IF(ISBLANK(L497),VALUE(P497),ROW(L497))</f>
        <v>10</v>
      </c>
      <c r="Q498" s="314" t="n">
        <f aca="false">Q497+P497-P498</f>
        <v>12</v>
      </c>
      <c r="R498" s="314" t="n">
        <f aca="false">INDEX(G:G,P498,1)</f>
        <v>69000</v>
      </c>
      <c r="S498" s="312"/>
    </row>
    <row r="499" s="379" customFormat="true" ht="14.9" hidden="false" customHeight="false" outlineLevel="0" collapsed="false">
      <c r="A499" s="380" t="n">
        <v>489</v>
      </c>
      <c r="B499" s="381" t="str">
        <f aca="false">CONCATENATE(INT((A499-1)/12)+1,"-й год ",A499-1-INT((A499-1)/12)*12+1,"-й мес")</f>
        <v>41-й год 9-й мес</v>
      </c>
      <c r="C499" s="382" t="n">
        <f aca="false">DATE(YEAR(C498),MONTH(C498)+1,DAY(C498))</f>
        <v>58746</v>
      </c>
      <c r="D499" s="383" t="n">
        <f aca="false">IFERROR(IF(R499*$D$4/100/12/(1-(1+$D$4/100/12)^(-Q499))&lt;G498,ROUNDUP(R499*$D$4/100/12/(1-(1+$D$4/100/12)^(-Q499)),0),G498+F499),0)</f>
        <v>0</v>
      </c>
      <c r="E499" s="384" t="n">
        <f aca="false">D499-F499</f>
        <v>0</v>
      </c>
      <c r="F499" s="384" t="n">
        <f aca="false">G498*$D$4*(C499-C498)/(DATE(YEAR(C499)+1,1,1)-DATE(YEAR(C499),1,1))/100</f>
        <v>0</v>
      </c>
      <c r="G499" s="385" t="n">
        <f aca="false">G498-E499-L499-M499</f>
        <v>0</v>
      </c>
      <c r="H499" s="386" t="n">
        <f aca="false">IFERROR(I499+J499,0)</f>
        <v>0</v>
      </c>
      <c r="I499" s="384" t="n">
        <f aca="false">IFERROR(IF($D$3/$D$5&lt;K498,$D$3/$D$5,K498),0)</f>
        <v>0</v>
      </c>
      <c r="J499" s="384" t="n">
        <f aca="false">K498*$D$4/12/100</f>
        <v>0</v>
      </c>
      <c r="K499" s="387" t="n">
        <f aca="false">K498-I499-L499-M499</f>
        <v>0</v>
      </c>
      <c r="L499" s="388"/>
      <c r="M499" s="389"/>
      <c r="N499" s="409"/>
      <c r="O499" s="409"/>
      <c r="P499" s="391" t="n">
        <f aca="false">IF(ISBLANK(L498),VALUE(P498),ROW(L498))</f>
        <v>10</v>
      </c>
      <c r="Q499" s="314" t="n">
        <f aca="false">Q498+P498-P499</f>
        <v>12</v>
      </c>
      <c r="R499" s="314" t="n">
        <f aca="false">INDEX(G:G,P499,1)</f>
        <v>69000</v>
      </c>
      <c r="S499" s="312"/>
    </row>
    <row r="500" s="379" customFormat="true" ht="14.9" hidden="false" customHeight="false" outlineLevel="0" collapsed="false">
      <c r="A500" s="380" t="n">
        <v>490</v>
      </c>
      <c r="B500" s="381" t="str">
        <f aca="false">CONCATENATE(INT((A500-1)/12)+1,"-й год ",A500-1-INT((A500-1)/12)*12+1,"-й мес")</f>
        <v>41-й год 10-й мес</v>
      </c>
      <c r="C500" s="382" t="n">
        <f aca="false">DATE(YEAR(C499),MONTH(C499)+1,DAY(C499))</f>
        <v>58776</v>
      </c>
      <c r="D500" s="383" t="n">
        <f aca="false">IFERROR(IF(R500*$D$4/100/12/(1-(1+$D$4/100/12)^(-Q500))&lt;G499,ROUNDUP(R500*$D$4/100/12/(1-(1+$D$4/100/12)^(-Q500)),0),G499+F500),0)</f>
        <v>0</v>
      </c>
      <c r="E500" s="384" t="n">
        <f aca="false">D500-F500</f>
        <v>0</v>
      </c>
      <c r="F500" s="384" t="n">
        <f aca="false">G499*$D$4*(C500-C499)/(DATE(YEAR(C500)+1,1,1)-DATE(YEAR(C500),1,1))/100</f>
        <v>0</v>
      </c>
      <c r="G500" s="385" t="n">
        <f aca="false">G499-E500-L500-M500</f>
        <v>0</v>
      </c>
      <c r="H500" s="386" t="n">
        <f aca="false">IFERROR(I500+J500,0)</f>
        <v>0</v>
      </c>
      <c r="I500" s="384" t="n">
        <f aca="false">IFERROR(IF($D$3/$D$5&lt;K499,$D$3/$D$5,K499),0)</f>
        <v>0</v>
      </c>
      <c r="J500" s="384" t="n">
        <f aca="false">K499*$D$4/12/100</f>
        <v>0</v>
      </c>
      <c r="K500" s="387" t="n">
        <f aca="false">K499-I500-L500-M500</f>
        <v>0</v>
      </c>
      <c r="L500" s="388"/>
      <c r="M500" s="389"/>
      <c r="N500" s="409"/>
      <c r="O500" s="409"/>
      <c r="P500" s="391" t="n">
        <f aca="false">IF(ISBLANK(L499),VALUE(P499),ROW(L499))</f>
        <v>10</v>
      </c>
      <c r="Q500" s="314" t="n">
        <f aca="false">Q499+P499-P500</f>
        <v>12</v>
      </c>
      <c r="R500" s="314" t="n">
        <f aca="false">INDEX(G:G,P500,1)</f>
        <v>69000</v>
      </c>
      <c r="S500" s="312"/>
    </row>
    <row r="501" s="379" customFormat="true" ht="14.9" hidden="false" customHeight="false" outlineLevel="0" collapsed="false">
      <c r="A501" s="380" t="n">
        <v>491</v>
      </c>
      <c r="B501" s="381" t="str">
        <f aca="false">CONCATENATE(INT((A501-1)/12)+1,"-й год ",A501-1-INT((A501-1)/12)*12+1,"-й мес")</f>
        <v>41-й год 11-й мес</v>
      </c>
      <c r="C501" s="382" t="n">
        <f aca="false">DATE(YEAR(C500),MONTH(C500)+1,DAY(C500))</f>
        <v>58807</v>
      </c>
      <c r="D501" s="383" t="n">
        <f aca="false">IFERROR(IF(R501*$D$4/100/12/(1-(1+$D$4/100/12)^(-Q501))&lt;G500,ROUNDUP(R501*$D$4/100/12/(1-(1+$D$4/100/12)^(-Q501)),0),G500+F501),0)</f>
        <v>0</v>
      </c>
      <c r="E501" s="384" t="n">
        <f aca="false">D501-F501</f>
        <v>0</v>
      </c>
      <c r="F501" s="384" t="n">
        <f aca="false">G500*$D$4*(C501-C500)/(DATE(YEAR(C501)+1,1,1)-DATE(YEAR(C501),1,1))/100</f>
        <v>0</v>
      </c>
      <c r="G501" s="385" t="n">
        <f aca="false">G500-E501-L501-M501</f>
        <v>0</v>
      </c>
      <c r="H501" s="386" t="n">
        <f aca="false">IFERROR(I501+J501,0)</f>
        <v>0</v>
      </c>
      <c r="I501" s="384" t="n">
        <f aca="false">IFERROR(IF($D$3/$D$5&lt;K500,$D$3/$D$5,K500),0)</f>
        <v>0</v>
      </c>
      <c r="J501" s="384" t="n">
        <f aca="false">K500*$D$4/12/100</f>
        <v>0</v>
      </c>
      <c r="K501" s="387" t="n">
        <f aca="false">K500-I501-L501-M501</f>
        <v>0</v>
      </c>
      <c r="L501" s="388"/>
      <c r="M501" s="389"/>
      <c r="N501" s="409"/>
      <c r="O501" s="409"/>
      <c r="P501" s="391" t="n">
        <f aca="false">IF(ISBLANK(L500),VALUE(P500),ROW(L500))</f>
        <v>10</v>
      </c>
      <c r="Q501" s="314" t="n">
        <f aca="false">Q500+P500-P501</f>
        <v>12</v>
      </c>
      <c r="R501" s="314" t="n">
        <f aca="false">INDEX(G:G,P501,1)</f>
        <v>69000</v>
      </c>
      <c r="S501" s="312"/>
    </row>
    <row r="502" s="379" customFormat="true" ht="14.9" hidden="false" customHeight="false" outlineLevel="0" collapsed="false">
      <c r="A502" s="380" t="n">
        <v>492</v>
      </c>
      <c r="B502" s="392" t="str">
        <f aca="false">CONCATENATE(INT((A502-1)/12)+1,"-й год ",A502-1-INT((A502-1)/12)*12+1,"-й мес")</f>
        <v>41-й год 12-й мес</v>
      </c>
      <c r="C502" s="393" t="n">
        <f aca="false">DATE(YEAR(C501),MONTH(C501)+1,DAY(C501))</f>
        <v>58838</v>
      </c>
      <c r="D502" s="394" t="n">
        <f aca="false">IFERROR(IF(R502*$D$4/100/12/(1-(1+$D$4/100/12)^(-Q502))&lt;G501,ROUNDUP(R502*$D$4/100/12/(1-(1+$D$4/100/12)^(-Q502)),0),G501+F502),0)</f>
        <v>0</v>
      </c>
      <c r="E502" s="395" t="n">
        <f aca="false">D502-F502</f>
        <v>0</v>
      </c>
      <c r="F502" s="395" t="n">
        <f aca="false">G501*$D$4*(C502-C501)/(DATE(YEAR(C502)+1,1,1)-DATE(YEAR(C502),1,1))/100</f>
        <v>0</v>
      </c>
      <c r="G502" s="385" t="n">
        <f aca="false">G501-E502-L502-M502</f>
        <v>0</v>
      </c>
      <c r="H502" s="386" t="n">
        <f aca="false">IFERROR(I502+J502,0)</f>
        <v>0</v>
      </c>
      <c r="I502" s="384" t="n">
        <f aca="false">IFERROR(IF($D$3/$D$5&lt;K501,$D$3/$D$5,K501),0)</f>
        <v>0</v>
      </c>
      <c r="J502" s="384" t="n">
        <f aca="false">K501*$D$4/12/100</f>
        <v>0</v>
      </c>
      <c r="K502" s="387" t="n">
        <f aca="false">K501-I502-L502-M502</f>
        <v>0</v>
      </c>
      <c r="L502" s="388"/>
      <c r="M502" s="389"/>
      <c r="N502" s="409"/>
      <c r="O502" s="409"/>
      <c r="P502" s="391" t="n">
        <f aca="false">IF(ISBLANK(L501),VALUE(P501),ROW(L501))</f>
        <v>10</v>
      </c>
      <c r="Q502" s="314" t="n">
        <f aca="false">Q501+P501-P502</f>
        <v>12</v>
      </c>
      <c r="R502" s="314" t="n">
        <f aca="false">INDEX(G:G,P502,1)</f>
        <v>69000</v>
      </c>
      <c r="S502" s="312"/>
    </row>
    <row r="503" s="379" customFormat="true" ht="14.9" hidden="false" customHeight="false" outlineLevel="0" collapsed="false">
      <c r="A503" s="396" t="n">
        <v>493</v>
      </c>
      <c r="B503" s="381" t="str">
        <f aca="false">CONCATENATE(INT((A503-1)/12)+1,"-й год ",A503-1-INT((A503-1)/12)*12+1,"-й мес")</f>
        <v>42-й год 1-й мес</v>
      </c>
      <c r="C503" s="382" t="n">
        <f aca="false">DATE(YEAR(C502),MONTH(C502)+1,DAY(C502))</f>
        <v>58866</v>
      </c>
      <c r="D503" s="383" t="n">
        <f aca="false">IFERROR(IF(R503*$D$4/100/12/(1-(1+$D$4/100/12)^(-Q503))&lt;G502,ROUNDUP(R503*$D$4/100/12/(1-(1+$D$4/100/12)^(-Q503)),0),G502+F503),0)</f>
        <v>0</v>
      </c>
      <c r="E503" s="384" t="n">
        <f aca="false">D503-F503</f>
        <v>0</v>
      </c>
      <c r="F503" s="384" t="n">
        <f aca="false">G502*$D$4*(C503-C502)/(DATE(YEAR(C503)+1,1,1)-DATE(YEAR(C503),1,1))/100</f>
        <v>0</v>
      </c>
      <c r="G503" s="397" t="n">
        <f aca="false">G502-E503-L503-M503</f>
        <v>0</v>
      </c>
      <c r="H503" s="398" t="n">
        <f aca="false">IFERROR(I503+J503,0)</f>
        <v>0</v>
      </c>
      <c r="I503" s="399" t="n">
        <f aca="false">IFERROR(IF($D$3/$D$5&lt;K502,$D$3/$D$5,K502),0)</f>
        <v>0</v>
      </c>
      <c r="J503" s="399" t="n">
        <f aca="false">K502*$D$4/12/100</f>
        <v>0</v>
      </c>
      <c r="K503" s="400" t="n">
        <f aca="false">K502-I503-L503-M503</f>
        <v>0</v>
      </c>
      <c r="L503" s="401"/>
      <c r="M503" s="402"/>
      <c r="N503" s="409"/>
      <c r="O503" s="409"/>
      <c r="P503" s="391" t="n">
        <f aca="false">IF(ISBLANK(L502),VALUE(P502),ROW(L502))</f>
        <v>10</v>
      </c>
      <c r="Q503" s="314" t="n">
        <f aca="false">Q502+P502-P503</f>
        <v>12</v>
      </c>
      <c r="R503" s="314" t="n">
        <f aca="false">INDEX(G:G,P503,1)</f>
        <v>69000</v>
      </c>
      <c r="S503" s="312"/>
    </row>
    <row r="504" s="379" customFormat="true" ht="14.9" hidden="false" customHeight="false" outlineLevel="0" collapsed="false">
      <c r="A504" s="403" t="n">
        <v>494</v>
      </c>
      <c r="B504" s="381" t="str">
        <f aca="false">CONCATENATE(INT((A504-1)/12)+1,"-й год ",A504-1-INT((A504-1)/12)*12+1,"-й мес")</f>
        <v>42-й год 2-й мес</v>
      </c>
      <c r="C504" s="382" t="n">
        <f aca="false">DATE(YEAR(C503),MONTH(C503)+1,DAY(C503))</f>
        <v>58897</v>
      </c>
      <c r="D504" s="383" t="n">
        <f aca="false">IFERROR(IF(R504*$D$4/100/12/(1-(1+$D$4/100/12)^(-Q504))&lt;G503,ROUNDUP(R504*$D$4/100/12/(1-(1+$D$4/100/12)^(-Q504)),0),G503+F504),0)</f>
        <v>0</v>
      </c>
      <c r="E504" s="384" t="n">
        <f aca="false">D504-F504</f>
        <v>0</v>
      </c>
      <c r="F504" s="384" t="n">
        <f aca="false">G503*$D$4*(C504-C503)/(DATE(YEAR(C504)+1,1,1)-DATE(YEAR(C504),1,1))/100</f>
        <v>0</v>
      </c>
      <c r="G504" s="385" t="n">
        <f aca="false">G503-E504-L504-M504</f>
        <v>0</v>
      </c>
      <c r="H504" s="386" t="n">
        <f aca="false">IFERROR(I504+J504,0)</f>
        <v>0</v>
      </c>
      <c r="I504" s="384" t="n">
        <f aca="false">IFERROR(IF($D$3/$D$5&lt;K503,$D$3/$D$5,K503),0)</f>
        <v>0</v>
      </c>
      <c r="J504" s="384" t="n">
        <f aca="false">K503*$D$4/12/100</f>
        <v>0</v>
      </c>
      <c r="K504" s="387" t="n">
        <f aca="false">K503-I504-L504-M504</f>
        <v>0</v>
      </c>
      <c r="L504" s="388"/>
      <c r="M504" s="389"/>
      <c r="N504" s="409"/>
      <c r="O504" s="409"/>
      <c r="P504" s="391" t="n">
        <f aca="false">IF(ISBLANK(L503),VALUE(P503),ROW(L503))</f>
        <v>10</v>
      </c>
      <c r="Q504" s="314" t="n">
        <f aca="false">Q503+P503-P504</f>
        <v>12</v>
      </c>
      <c r="R504" s="314" t="n">
        <f aca="false">INDEX(G:G,P504,1)</f>
        <v>69000</v>
      </c>
      <c r="S504" s="312"/>
    </row>
    <row r="505" s="379" customFormat="true" ht="14.9" hidden="false" customHeight="false" outlineLevel="0" collapsed="false">
      <c r="A505" s="403" t="n">
        <v>495</v>
      </c>
      <c r="B505" s="381" t="str">
        <f aca="false">CONCATENATE(INT((A505-1)/12)+1,"-й год ",A505-1-INT((A505-1)/12)*12+1,"-й мес")</f>
        <v>42-й год 3-й мес</v>
      </c>
      <c r="C505" s="382" t="n">
        <f aca="false">DATE(YEAR(C504),MONTH(C504)+1,DAY(C504))</f>
        <v>58927</v>
      </c>
      <c r="D505" s="383" t="n">
        <f aca="false">IFERROR(IF(R505*$D$4/100/12/(1-(1+$D$4/100/12)^(-Q505))&lt;G504,ROUNDUP(R505*$D$4/100/12/(1-(1+$D$4/100/12)^(-Q505)),0),G504+F505),0)</f>
        <v>0</v>
      </c>
      <c r="E505" s="384" t="n">
        <f aca="false">D505-F505</f>
        <v>0</v>
      </c>
      <c r="F505" s="384" t="n">
        <f aca="false">G504*$D$4*(C505-C504)/(DATE(YEAR(C505)+1,1,1)-DATE(YEAR(C505),1,1))/100</f>
        <v>0</v>
      </c>
      <c r="G505" s="385" t="n">
        <f aca="false">G504-E505-L505-M505</f>
        <v>0</v>
      </c>
      <c r="H505" s="386" t="n">
        <f aca="false">IFERROR(I505+J505,0)</f>
        <v>0</v>
      </c>
      <c r="I505" s="384" t="n">
        <f aca="false">IFERROR(IF($D$3/$D$5&lt;K504,$D$3/$D$5,K504),0)</f>
        <v>0</v>
      </c>
      <c r="J505" s="384" t="n">
        <f aca="false">K504*$D$4/12/100</f>
        <v>0</v>
      </c>
      <c r="K505" s="387" t="n">
        <f aca="false">K504-I505-L505-M505</f>
        <v>0</v>
      </c>
      <c r="L505" s="388"/>
      <c r="M505" s="389"/>
      <c r="N505" s="409"/>
      <c r="O505" s="409"/>
      <c r="P505" s="391" t="n">
        <f aca="false">IF(ISBLANK(L504),VALUE(P504),ROW(L504))</f>
        <v>10</v>
      </c>
      <c r="Q505" s="314" t="n">
        <f aca="false">Q504+P504-P505</f>
        <v>12</v>
      </c>
      <c r="R505" s="314" t="n">
        <f aca="false">INDEX(G:G,P505,1)</f>
        <v>69000</v>
      </c>
      <c r="S505" s="312"/>
    </row>
    <row r="506" s="379" customFormat="true" ht="14.9" hidden="false" customHeight="false" outlineLevel="0" collapsed="false">
      <c r="A506" s="403" t="n">
        <v>496</v>
      </c>
      <c r="B506" s="381" t="str">
        <f aca="false">CONCATENATE(INT((A506-1)/12)+1,"-й год ",A506-1-INT((A506-1)/12)*12+1,"-й мес")</f>
        <v>42-й год 4-й мес</v>
      </c>
      <c r="C506" s="382" t="n">
        <f aca="false">DATE(YEAR(C505),MONTH(C505)+1,DAY(C505))</f>
        <v>58958</v>
      </c>
      <c r="D506" s="383" t="n">
        <f aca="false">IFERROR(IF(R506*$D$4/100/12/(1-(1+$D$4/100/12)^(-Q506))&lt;G505,ROUNDUP(R506*$D$4/100/12/(1-(1+$D$4/100/12)^(-Q506)),0),G505+F506),0)</f>
        <v>0</v>
      </c>
      <c r="E506" s="384" t="n">
        <f aca="false">D506-F506</f>
        <v>0</v>
      </c>
      <c r="F506" s="384" t="n">
        <f aca="false">G505*$D$4*(C506-C505)/(DATE(YEAR(C506)+1,1,1)-DATE(YEAR(C506),1,1))/100</f>
        <v>0</v>
      </c>
      <c r="G506" s="385" t="n">
        <f aca="false">G505-E506-L506-M506</f>
        <v>0</v>
      </c>
      <c r="H506" s="386" t="n">
        <f aca="false">IFERROR(I506+J506,0)</f>
        <v>0</v>
      </c>
      <c r="I506" s="384" t="n">
        <f aca="false">IFERROR(IF($D$3/$D$5&lt;K505,$D$3/$D$5,K505),0)</f>
        <v>0</v>
      </c>
      <c r="J506" s="384" t="n">
        <f aca="false">K505*$D$4/12/100</f>
        <v>0</v>
      </c>
      <c r="K506" s="387" t="n">
        <f aca="false">K505-I506-L506-M506</f>
        <v>0</v>
      </c>
      <c r="L506" s="388"/>
      <c r="M506" s="389"/>
      <c r="N506" s="409"/>
      <c r="O506" s="409"/>
      <c r="P506" s="391" t="n">
        <f aca="false">IF(ISBLANK(L505),VALUE(P505),ROW(L505))</f>
        <v>10</v>
      </c>
      <c r="Q506" s="314" t="n">
        <f aca="false">Q505+P505-P506</f>
        <v>12</v>
      </c>
      <c r="R506" s="314" t="n">
        <f aca="false">INDEX(G:G,P506,1)</f>
        <v>69000</v>
      </c>
      <c r="S506" s="312"/>
    </row>
    <row r="507" s="379" customFormat="true" ht="14.9" hidden="false" customHeight="false" outlineLevel="0" collapsed="false">
      <c r="A507" s="403" t="n">
        <v>497</v>
      </c>
      <c r="B507" s="381" t="str">
        <f aca="false">CONCATENATE(INT((A507-1)/12)+1,"-й год ",A507-1-INT((A507-1)/12)*12+1,"-й мес")</f>
        <v>42-й год 5-й мес</v>
      </c>
      <c r="C507" s="382" t="n">
        <f aca="false">DATE(YEAR(C506),MONTH(C506)+1,DAY(C506))</f>
        <v>58988</v>
      </c>
      <c r="D507" s="383" t="n">
        <f aca="false">IFERROR(IF(R507*$D$4/100/12/(1-(1+$D$4/100/12)^(-Q507))&lt;G506,ROUNDUP(R507*$D$4/100/12/(1-(1+$D$4/100/12)^(-Q507)),0),G506+F507),0)</f>
        <v>0</v>
      </c>
      <c r="E507" s="384" t="n">
        <f aca="false">D507-F507</f>
        <v>0</v>
      </c>
      <c r="F507" s="384" t="n">
        <f aca="false">G506*$D$4*(C507-C506)/(DATE(YEAR(C507)+1,1,1)-DATE(YEAR(C507),1,1))/100</f>
        <v>0</v>
      </c>
      <c r="G507" s="385" t="n">
        <f aca="false">G506-E507-L507-M507</f>
        <v>0</v>
      </c>
      <c r="H507" s="386" t="n">
        <f aca="false">IFERROR(I507+J507,0)</f>
        <v>0</v>
      </c>
      <c r="I507" s="384" t="n">
        <f aca="false">IFERROR(IF($D$3/$D$5&lt;K506,$D$3/$D$5,K506),0)</f>
        <v>0</v>
      </c>
      <c r="J507" s="384" t="n">
        <f aca="false">K506*$D$4/12/100</f>
        <v>0</v>
      </c>
      <c r="K507" s="387" t="n">
        <f aca="false">K506-I507-L507-M507</f>
        <v>0</v>
      </c>
      <c r="L507" s="388"/>
      <c r="M507" s="389"/>
      <c r="N507" s="409"/>
      <c r="O507" s="409"/>
      <c r="P507" s="391" t="n">
        <f aca="false">IF(ISBLANK(L506),VALUE(P506),ROW(L506))</f>
        <v>10</v>
      </c>
      <c r="Q507" s="314" t="n">
        <f aca="false">Q506+P506-P507</f>
        <v>12</v>
      </c>
      <c r="R507" s="314" t="n">
        <f aca="false">INDEX(G:G,P507,1)</f>
        <v>69000</v>
      </c>
      <c r="S507" s="312"/>
    </row>
    <row r="508" s="379" customFormat="true" ht="14.9" hidden="false" customHeight="false" outlineLevel="0" collapsed="false">
      <c r="A508" s="403" t="n">
        <v>498</v>
      </c>
      <c r="B508" s="381" t="str">
        <f aca="false">CONCATENATE(INT((A508-1)/12)+1,"-й год ",A508-1-INT((A508-1)/12)*12+1,"-й мес")</f>
        <v>42-й год 6-й мес</v>
      </c>
      <c r="C508" s="382" t="n">
        <f aca="false">DATE(YEAR(C507),MONTH(C507)+1,DAY(C507))</f>
        <v>59019</v>
      </c>
      <c r="D508" s="383" t="n">
        <f aca="false">IFERROR(IF(R508*$D$4/100/12/(1-(1+$D$4/100/12)^(-Q508))&lt;G507,ROUNDUP(R508*$D$4/100/12/(1-(1+$D$4/100/12)^(-Q508)),0),G507+F508),0)</f>
        <v>0</v>
      </c>
      <c r="E508" s="384" t="n">
        <f aca="false">D508-F508</f>
        <v>0</v>
      </c>
      <c r="F508" s="384" t="n">
        <f aca="false">G507*$D$4*(C508-C507)/(DATE(YEAR(C508)+1,1,1)-DATE(YEAR(C508),1,1))/100</f>
        <v>0</v>
      </c>
      <c r="G508" s="385" t="n">
        <f aca="false">G507-E508-L508-M508</f>
        <v>0</v>
      </c>
      <c r="H508" s="386" t="n">
        <f aca="false">IFERROR(I508+J508,0)</f>
        <v>0</v>
      </c>
      <c r="I508" s="384" t="n">
        <f aca="false">IFERROR(IF($D$3/$D$5&lt;K507,$D$3/$D$5,K507),0)</f>
        <v>0</v>
      </c>
      <c r="J508" s="384" t="n">
        <f aca="false">K507*$D$4/12/100</f>
        <v>0</v>
      </c>
      <c r="K508" s="387" t="n">
        <f aca="false">K507-I508-L508-M508</f>
        <v>0</v>
      </c>
      <c r="L508" s="388"/>
      <c r="M508" s="389"/>
      <c r="N508" s="409"/>
      <c r="O508" s="409"/>
      <c r="P508" s="391" t="n">
        <f aca="false">IF(ISBLANK(L507),VALUE(P507),ROW(L507))</f>
        <v>10</v>
      </c>
      <c r="Q508" s="314" t="n">
        <f aca="false">Q507+P507-P508</f>
        <v>12</v>
      </c>
      <c r="R508" s="314" t="n">
        <f aca="false">INDEX(G:G,P508,1)</f>
        <v>69000</v>
      </c>
      <c r="S508" s="312"/>
    </row>
    <row r="509" s="379" customFormat="true" ht="14.9" hidden="false" customHeight="false" outlineLevel="0" collapsed="false">
      <c r="A509" s="403" t="n">
        <v>499</v>
      </c>
      <c r="B509" s="381" t="str">
        <f aca="false">CONCATENATE(INT((A509-1)/12)+1,"-й год ",A509-1-INT((A509-1)/12)*12+1,"-й мес")</f>
        <v>42-й год 7-й мес</v>
      </c>
      <c r="C509" s="382" t="n">
        <f aca="false">DATE(YEAR(C508),MONTH(C508)+1,DAY(C508))</f>
        <v>59050</v>
      </c>
      <c r="D509" s="383" t="n">
        <f aca="false">IFERROR(IF(R509*$D$4/100/12/(1-(1+$D$4/100/12)^(-Q509))&lt;G508,ROUNDUP(R509*$D$4/100/12/(1-(1+$D$4/100/12)^(-Q509)),0),G508+F509),0)</f>
        <v>0</v>
      </c>
      <c r="E509" s="384" t="n">
        <f aca="false">D509-F509</f>
        <v>0</v>
      </c>
      <c r="F509" s="384" t="n">
        <f aca="false">G508*$D$4*(C509-C508)/(DATE(YEAR(C509)+1,1,1)-DATE(YEAR(C509),1,1))/100</f>
        <v>0</v>
      </c>
      <c r="G509" s="385" t="n">
        <f aca="false">G508-E509-L509-M509</f>
        <v>0</v>
      </c>
      <c r="H509" s="386" t="n">
        <f aca="false">IFERROR(I509+J509,0)</f>
        <v>0</v>
      </c>
      <c r="I509" s="384" t="n">
        <f aca="false">IFERROR(IF($D$3/$D$5&lt;K508,$D$3/$D$5,K508),0)</f>
        <v>0</v>
      </c>
      <c r="J509" s="384" t="n">
        <f aca="false">K508*$D$4/12/100</f>
        <v>0</v>
      </c>
      <c r="K509" s="387" t="n">
        <f aca="false">K508-I509-L509-M509</f>
        <v>0</v>
      </c>
      <c r="L509" s="388"/>
      <c r="M509" s="389"/>
      <c r="N509" s="409"/>
      <c r="O509" s="409"/>
      <c r="P509" s="391" t="n">
        <f aca="false">IF(ISBLANK(L508),VALUE(P508),ROW(L508))</f>
        <v>10</v>
      </c>
      <c r="Q509" s="314" t="n">
        <f aca="false">Q508+P508-P509</f>
        <v>12</v>
      </c>
      <c r="R509" s="314" t="n">
        <f aca="false">INDEX(G:G,P509,1)</f>
        <v>69000</v>
      </c>
      <c r="S509" s="312"/>
    </row>
    <row r="510" s="379" customFormat="true" ht="14.9" hidden="false" customHeight="false" outlineLevel="0" collapsed="false">
      <c r="A510" s="403" t="n">
        <v>500</v>
      </c>
      <c r="B510" s="381" t="str">
        <f aca="false">CONCATENATE(INT((A510-1)/12)+1,"-й год ",A510-1-INT((A510-1)/12)*12+1,"-й мес")</f>
        <v>42-й год 8-й мес</v>
      </c>
      <c r="C510" s="382" t="n">
        <f aca="false">DATE(YEAR(C509),MONTH(C509)+1,DAY(C509))</f>
        <v>59080</v>
      </c>
      <c r="D510" s="383" t="n">
        <f aca="false">IFERROR(IF(R510*$D$4/100/12/(1-(1+$D$4/100/12)^(-Q510))&lt;G509,ROUNDUP(R510*$D$4/100/12/(1-(1+$D$4/100/12)^(-Q510)),0),G509+F510),0)</f>
        <v>0</v>
      </c>
      <c r="E510" s="384" t="n">
        <f aca="false">D510-F510</f>
        <v>0</v>
      </c>
      <c r="F510" s="384" t="n">
        <f aca="false">G509*$D$4*(C510-C509)/(DATE(YEAR(C510)+1,1,1)-DATE(YEAR(C510),1,1))/100</f>
        <v>0</v>
      </c>
      <c r="G510" s="385" t="n">
        <f aca="false">G509-E510-L510-M510</f>
        <v>0</v>
      </c>
      <c r="H510" s="386" t="n">
        <f aca="false">IFERROR(I510+J510,0)</f>
        <v>0</v>
      </c>
      <c r="I510" s="384" t="n">
        <f aca="false">IFERROR(IF($D$3/$D$5&lt;K509,$D$3/$D$5,K509),0)</f>
        <v>0</v>
      </c>
      <c r="J510" s="384" t="n">
        <f aca="false">K509*$D$4/12/100</f>
        <v>0</v>
      </c>
      <c r="K510" s="387" t="n">
        <f aca="false">K509-I510-L510-M510</f>
        <v>0</v>
      </c>
      <c r="L510" s="388"/>
      <c r="M510" s="389"/>
      <c r="N510" s="409"/>
      <c r="O510" s="409"/>
      <c r="P510" s="391" t="n">
        <f aca="false">IF(ISBLANK(L509),VALUE(P509),ROW(L509))</f>
        <v>10</v>
      </c>
      <c r="Q510" s="314" t="n">
        <f aca="false">Q509+P509-P510</f>
        <v>12</v>
      </c>
      <c r="R510" s="314" t="n">
        <f aca="false">INDEX(G:G,P510,1)</f>
        <v>69000</v>
      </c>
      <c r="S510" s="312"/>
    </row>
    <row r="511" s="379" customFormat="true" ht="14.9" hidden="false" customHeight="false" outlineLevel="0" collapsed="false">
      <c r="A511" s="403" t="n">
        <v>501</v>
      </c>
      <c r="B511" s="381" t="str">
        <f aca="false">CONCATENATE(INT((A511-1)/12)+1,"-й год ",A511-1-INT((A511-1)/12)*12+1,"-й мес")</f>
        <v>42-й год 9-й мес</v>
      </c>
      <c r="C511" s="382" t="n">
        <f aca="false">DATE(YEAR(C510),MONTH(C510)+1,DAY(C510))</f>
        <v>59111</v>
      </c>
      <c r="D511" s="383" t="n">
        <f aca="false">IFERROR(IF(R511*$D$4/100/12/(1-(1+$D$4/100/12)^(-Q511))&lt;G510,ROUNDUP(R511*$D$4/100/12/(1-(1+$D$4/100/12)^(-Q511)),0),G510+F511),0)</f>
        <v>0</v>
      </c>
      <c r="E511" s="384" t="n">
        <f aca="false">D511-F511</f>
        <v>0</v>
      </c>
      <c r="F511" s="384" t="n">
        <f aca="false">G510*$D$4*(C511-C510)/(DATE(YEAR(C511)+1,1,1)-DATE(YEAR(C511),1,1))/100</f>
        <v>0</v>
      </c>
      <c r="G511" s="385" t="n">
        <f aca="false">G510-E511-L511-M511</f>
        <v>0</v>
      </c>
      <c r="H511" s="386" t="n">
        <f aca="false">IFERROR(I511+J511,0)</f>
        <v>0</v>
      </c>
      <c r="I511" s="384" t="n">
        <f aca="false">IFERROR(IF($D$3/$D$5&lt;K510,$D$3/$D$5,K510),0)</f>
        <v>0</v>
      </c>
      <c r="J511" s="384" t="n">
        <f aca="false">K510*$D$4/12/100</f>
        <v>0</v>
      </c>
      <c r="K511" s="387" t="n">
        <f aca="false">K510-I511-L511-M511</f>
        <v>0</v>
      </c>
      <c r="L511" s="388"/>
      <c r="M511" s="389"/>
      <c r="N511" s="409"/>
      <c r="O511" s="409"/>
      <c r="P511" s="391" t="n">
        <f aca="false">IF(ISBLANK(L510),VALUE(P510),ROW(L510))</f>
        <v>10</v>
      </c>
      <c r="Q511" s="314" t="n">
        <f aca="false">Q510+P510-P511</f>
        <v>12</v>
      </c>
      <c r="R511" s="314" t="n">
        <f aca="false">INDEX(G:G,P511,1)</f>
        <v>69000</v>
      </c>
      <c r="S511" s="312"/>
    </row>
    <row r="512" s="379" customFormat="true" ht="14.9" hidden="false" customHeight="false" outlineLevel="0" collapsed="false">
      <c r="A512" s="403" t="n">
        <v>502</v>
      </c>
      <c r="B512" s="381" t="str">
        <f aca="false">CONCATENATE(INT((A512-1)/12)+1,"-й год ",A512-1-INT((A512-1)/12)*12+1,"-й мес")</f>
        <v>42-й год 10-й мес</v>
      </c>
      <c r="C512" s="382" t="n">
        <f aca="false">DATE(YEAR(C511),MONTH(C511)+1,DAY(C511))</f>
        <v>59141</v>
      </c>
      <c r="D512" s="383" t="n">
        <f aca="false">IFERROR(IF(R512*$D$4/100/12/(1-(1+$D$4/100/12)^(-Q512))&lt;G511,ROUNDUP(R512*$D$4/100/12/(1-(1+$D$4/100/12)^(-Q512)),0),G511+F512),0)</f>
        <v>0</v>
      </c>
      <c r="E512" s="384" t="n">
        <f aca="false">D512-F512</f>
        <v>0</v>
      </c>
      <c r="F512" s="384" t="n">
        <f aca="false">G511*$D$4*(C512-C511)/(DATE(YEAR(C512)+1,1,1)-DATE(YEAR(C512),1,1))/100</f>
        <v>0</v>
      </c>
      <c r="G512" s="385" t="n">
        <f aca="false">G511-E512-L512-M512</f>
        <v>0</v>
      </c>
      <c r="H512" s="386" t="n">
        <f aca="false">IFERROR(I512+J512,0)</f>
        <v>0</v>
      </c>
      <c r="I512" s="384" t="n">
        <f aca="false">IFERROR(IF($D$3/$D$5&lt;K511,$D$3/$D$5,K511),0)</f>
        <v>0</v>
      </c>
      <c r="J512" s="384" t="n">
        <f aca="false">K511*$D$4/12/100</f>
        <v>0</v>
      </c>
      <c r="K512" s="387" t="n">
        <f aca="false">K511-I512-L512-M512</f>
        <v>0</v>
      </c>
      <c r="L512" s="388"/>
      <c r="M512" s="389"/>
      <c r="N512" s="409"/>
      <c r="O512" s="409"/>
      <c r="P512" s="391" t="n">
        <f aca="false">IF(ISBLANK(L511),VALUE(P511),ROW(L511))</f>
        <v>10</v>
      </c>
      <c r="Q512" s="314" t="n">
        <f aca="false">Q511+P511-P512</f>
        <v>12</v>
      </c>
      <c r="R512" s="314" t="n">
        <f aca="false">INDEX(G:G,P512,1)</f>
        <v>69000</v>
      </c>
      <c r="S512" s="312"/>
    </row>
    <row r="513" s="379" customFormat="true" ht="14.9" hidden="false" customHeight="false" outlineLevel="0" collapsed="false">
      <c r="A513" s="403" t="n">
        <v>503</v>
      </c>
      <c r="B513" s="381" t="str">
        <f aca="false">CONCATENATE(INT((A513-1)/12)+1,"-й год ",A513-1-INT((A513-1)/12)*12+1,"-й мес")</f>
        <v>42-й год 11-й мес</v>
      </c>
      <c r="C513" s="382" t="n">
        <f aca="false">DATE(YEAR(C512),MONTH(C512)+1,DAY(C512))</f>
        <v>59172</v>
      </c>
      <c r="D513" s="383" t="n">
        <f aca="false">IFERROR(IF(R513*$D$4/100/12/(1-(1+$D$4/100/12)^(-Q513))&lt;G512,ROUNDUP(R513*$D$4/100/12/(1-(1+$D$4/100/12)^(-Q513)),0),G512+F513),0)</f>
        <v>0</v>
      </c>
      <c r="E513" s="384" t="n">
        <f aca="false">D513-F513</f>
        <v>0</v>
      </c>
      <c r="F513" s="384" t="n">
        <f aca="false">G512*$D$4*(C513-C512)/(DATE(YEAR(C513)+1,1,1)-DATE(YEAR(C513),1,1))/100</f>
        <v>0</v>
      </c>
      <c r="G513" s="385" t="n">
        <f aca="false">G512-E513-L513-M513</f>
        <v>0</v>
      </c>
      <c r="H513" s="386" t="n">
        <f aca="false">IFERROR(I513+J513,0)</f>
        <v>0</v>
      </c>
      <c r="I513" s="384" t="n">
        <f aca="false">IFERROR(IF($D$3/$D$5&lt;K512,$D$3/$D$5,K512),0)</f>
        <v>0</v>
      </c>
      <c r="J513" s="384" t="n">
        <f aca="false">K512*$D$4/12/100</f>
        <v>0</v>
      </c>
      <c r="K513" s="387" t="n">
        <f aca="false">K512-I513-L513-M513</f>
        <v>0</v>
      </c>
      <c r="L513" s="388"/>
      <c r="M513" s="389"/>
      <c r="N513" s="409"/>
      <c r="O513" s="409"/>
      <c r="P513" s="391" t="n">
        <f aca="false">IF(ISBLANK(L512),VALUE(P512),ROW(L512))</f>
        <v>10</v>
      </c>
      <c r="Q513" s="314" t="n">
        <f aca="false">Q512+P512-P513</f>
        <v>12</v>
      </c>
      <c r="R513" s="314" t="n">
        <f aca="false">INDEX(G:G,P513,1)</f>
        <v>69000</v>
      </c>
      <c r="S513" s="312"/>
    </row>
    <row r="514" s="379" customFormat="true" ht="14.9" hidden="false" customHeight="false" outlineLevel="0" collapsed="false">
      <c r="A514" s="404" t="n">
        <v>504</v>
      </c>
      <c r="B514" s="392" t="str">
        <f aca="false">CONCATENATE(INT((A514-1)/12)+1,"-й год ",A514-1-INT((A514-1)/12)*12+1,"-й мес")</f>
        <v>42-й год 12-й мес</v>
      </c>
      <c r="C514" s="393" t="n">
        <f aca="false">DATE(YEAR(C513),MONTH(C513)+1,DAY(C513))</f>
        <v>59203</v>
      </c>
      <c r="D514" s="394" t="n">
        <f aca="false">IFERROR(IF(R514*$D$4/100/12/(1-(1+$D$4/100/12)^(-Q514))&lt;G513,ROUNDUP(R514*$D$4/100/12/(1-(1+$D$4/100/12)^(-Q514)),0),G513+F514),0)</f>
        <v>0</v>
      </c>
      <c r="E514" s="395" t="n">
        <f aca="false">D514-F514</f>
        <v>0</v>
      </c>
      <c r="F514" s="395" t="n">
        <f aca="false">G513*$D$4*(C514-C513)/(DATE(YEAR(C514)+1,1,1)-DATE(YEAR(C514),1,1))/100</f>
        <v>0</v>
      </c>
      <c r="G514" s="405" t="n">
        <f aca="false">G513-E514-L514-M514</f>
        <v>0</v>
      </c>
      <c r="H514" s="406" t="n">
        <f aca="false">IFERROR(I514+J514,0)</f>
        <v>0</v>
      </c>
      <c r="I514" s="395" t="n">
        <f aca="false">IFERROR(IF($D$3/$D$5&lt;K513,$D$3/$D$5,K513),0)</f>
        <v>0</v>
      </c>
      <c r="J514" s="395" t="n">
        <f aca="false">K513*$D$4/12/100</f>
        <v>0</v>
      </c>
      <c r="K514" s="407" t="n">
        <f aca="false">K513-I514-L514-M514</f>
        <v>0</v>
      </c>
      <c r="L514" s="408"/>
      <c r="M514" s="410"/>
      <c r="N514" s="409"/>
      <c r="O514" s="409"/>
      <c r="P514" s="391" t="n">
        <f aca="false">IF(ISBLANK(L513),VALUE(P513),ROW(L513))</f>
        <v>10</v>
      </c>
      <c r="Q514" s="314" t="n">
        <f aca="false">Q513+P513-P514</f>
        <v>12</v>
      </c>
      <c r="R514" s="314" t="n">
        <f aca="false">INDEX(G:G,P514,1)</f>
        <v>69000</v>
      </c>
      <c r="S514" s="312"/>
    </row>
    <row r="515" s="379" customFormat="true" ht="14.9" hidden="false" customHeight="false" outlineLevel="0" collapsed="false">
      <c r="A515" s="380" t="n">
        <v>505</v>
      </c>
      <c r="B515" s="381" t="str">
        <f aca="false">CONCATENATE(INT((A515-1)/12)+1,"-й год ",A515-1-INT((A515-1)/12)*12+1,"-й мес")</f>
        <v>43-й год 1-й мес</v>
      </c>
      <c r="C515" s="382" t="n">
        <f aca="false">DATE(YEAR(C514),MONTH(C514)+1,DAY(C514))</f>
        <v>59231</v>
      </c>
      <c r="D515" s="383" t="n">
        <f aca="false">IFERROR(IF(R515*$D$4/100/12/(1-(1+$D$4/100/12)^(-Q515))&lt;G514,ROUNDUP(R515*$D$4/100/12/(1-(1+$D$4/100/12)^(-Q515)),0),G514+F515),0)</f>
        <v>0</v>
      </c>
      <c r="E515" s="384" t="n">
        <f aca="false">D515-F515</f>
        <v>0</v>
      </c>
      <c r="F515" s="384" t="n">
        <f aca="false">G514*$D$4*(C515-C514)/(DATE(YEAR(C515)+1,1,1)-DATE(YEAR(C515),1,1))/100</f>
        <v>0</v>
      </c>
      <c r="G515" s="385" t="n">
        <f aca="false">G514-E515-L515-M515</f>
        <v>0</v>
      </c>
      <c r="H515" s="386" t="n">
        <f aca="false">IFERROR(I515+J515,0)</f>
        <v>0</v>
      </c>
      <c r="I515" s="384" t="n">
        <f aca="false">IFERROR(IF($D$3/$D$5&lt;K514,$D$3/$D$5,K514),0)</f>
        <v>0</v>
      </c>
      <c r="J515" s="384" t="n">
        <f aca="false">K514*$D$4/12/100</f>
        <v>0</v>
      </c>
      <c r="K515" s="387" t="n">
        <f aca="false">K514-I515-L515-M515</f>
        <v>0</v>
      </c>
      <c r="L515" s="388"/>
      <c r="M515" s="389"/>
      <c r="N515" s="409"/>
      <c r="O515" s="409"/>
      <c r="P515" s="391" t="n">
        <f aca="false">IF(ISBLANK(L514),VALUE(P514),ROW(L514))</f>
        <v>10</v>
      </c>
      <c r="Q515" s="314" t="n">
        <f aca="false">Q514+P514-P515</f>
        <v>12</v>
      </c>
      <c r="R515" s="314" t="n">
        <f aca="false">INDEX(G:G,P515,1)</f>
        <v>69000</v>
      </c>
      <c r="S515" s="312"/>
    </row>
    <row r="516" s="379" customFormat="true" ht="14.9" hidden="false" customHeight="false" outlineLevel="0" collapsed="false">
      <c r="A516" s="380" t="n">
        <v>506</v>
      </c>
      <c r="B516" s="381" t="str">
        <f aca="false">CONCATENATE(INT((A516-1)/12)+1,"-й год ",A516-1-INT((A516-1)/12)*12+1,"-й мес")</f>
        <v>43-й год 2-й мес</v>
      </c>
      <c r="C516" s="382" t="n">
        <f aca="false">DATE(YEAR(C515),MONTH(C515)+1,DAY(C515))</f>
        <v>59262</v>
      </c>
      <c r="D516" s="383" t="n">
        <f aca="false">IFERROR(IF(R516*$D$4/100/12/(1-(1+$D$4/100/12)^(-Q516))&lt;G515,ROUNDUP(R516*$D$4/100/12/(1-(1+$D$4/100/12)^(-Q516)),0),G515+F516),0)</f>
        <v>0</v>
      </c>
      <c r="E516" s="384" t="n">
        <f aca="false">D516-F516</f>
        <v>0</v>
      </c>
      <c r="F516" s="384" t="n">
        <f aca="false">G515*$D$4*(C516-C515)/(DATE(YEAR(C516)+1,1,1)-DATE(YEAR(C516),1,1))/100</f>
        <v>0</v>
      </c>
      <c r="G516" s="385" t="n">
        <f aca="false">G515-E516-L516-M516</f>
        <v>0</v>
      </c>
      <c r="H516" s="386" t="n">
        <f aca="false">IFERROR(I516+J516,0)</f>
        <v>0</v>
      </c>
      <c r="I516" s="384" t="n">
        <f aca="false">IFERROR(IF($D$3/$D$5&lt;K515,$D$3/$D$5,K515),0)</f>
        <v>0</v>
      </c>
      <c r="J516" s="384" t="n">
        <f aca="false">K515*$D$4/12/100</f>
        <v>0</v>
      </c>
      <c r="K516" s="387" t="n">
        <f aca="false">K515-I516-L516-M516</f>
        <v>0</v>
      </c>
      <c r="L516" s="388"/>
      <c r="M516" s="389"/>
      <c r="N516" s="409"/>
      <c r="O516" s="409"/>
      <c r="P516" s="391" t="n">
        <f aca="false">IF(ISBLANK(L515),VALUE(P515),ROW(L515))</f>
        <v>10</v>
      </c>
      <c r="Q516" s="314" t="n">
        <f aca="false">Q515+P515-P516</f>
        <v>12</v>
      </c>
      <c r="R516" s="314" t="n">
        <f aca="false">INDEX(G:G,P516,1)</f>
        <v>69000</v>
      </c>
      <c r="S516" s="312"/>
    </row>
    <row r="517" s="379" customFormat="true" ht="14.9" hidden="false" customHeight="false" outlineLevel="0" collapsed="false">
      <c r="A517" s="380" t="n">
        <v>507</v>
      </c>
      <c r="B517" s="381" t="str">
        <f aca="false">CONCATENATE(INT((A517-1)/12)+1,"-й год ",A517-1-INT((A517-1)/12)*12+1,"-й мес")</f>
        <v>43-й год 3-й мес</v>
      </c>
      <c r="C517" s="382" t="n">
        <f aca="false">DATE(YEAR(C516),MONTH(C516)+1,DAY(C516))</f>
        <v>59292</v>
      </c>
      <c r="D517" s="383" t="n">
        <f aca="false">IFERROR(IF(R517*$D$4/100/12/(1-(1+$D$4/100/12)^(-Q517))&lt;G516,ROUNDUP(R517*$D$4/100/12/(1-(1+$D$4/100/12)^(-Q517)),0),G516+F517),0)</f>
        <v>0</v>
      </c>
      <c r="E517" s="384" t="n">
        <f aca="false">D517-F517</f>
        <v>0</v>
      </c>
      <c r="F517" s="384" t="n">
        <f aca="false">G516*$D$4*(C517-C516)/(DATE(YEAR(C517)+1,1,1)-DATE(YEAR(C517),1,1))/100</f>
        <v>0</v>
      </c>
      <c r="G517" s="385" t="n">
        <f aca="false">G516-E517-L517-M517</f>
        <v>0</v>
      </c>
      <c r="H517" s="386" t="n">
        <f aca="false">IFERROR(I517+J517,0)</f>
        <v>0</v>
      </c>
      <c r="I517" s="384" t="n">
        <f aca="false">IFERROR(IF($D$3/$D$5&lt;K516,$D$3/$D$5,K516),0)</f>
        <v>0</v>
      </c>
      <c r="J517" s="384" t="n">
        <f aca="false">K516*$D$4/12/100</f>
        <v>0</v>
      </c>
      <c r="K517" s="387" t="n">
        <f aca="false">K516-I517-L517-M517</f>
        <v>0</v>
      </c>
      <c r="L517" s="388"/>
      <c r="M517" s="389"/>
      <c r="N517" s="409"/>
      <c r="O517" s="409"/>
      <c r="P517" s="391" t="n">
        <f aca="false">IF(ISBLANK(L516),VALUE(P516),ROW(L516))</f>
        <v>10</v>
      </c>
      <c r="Q517" s="314" t="n">
        <f aca="false">Q516+P516-P517</f>
        <v>12</v>
      </c>
      <c r="R517" s="314" t="n">
        <f aca="false">INDEX(G:G,P517,1)</f>
        <v>69000</v>
      </c>
      <c r="S517" s="312"/>
    </row>
    <row r="518" s="379" customFormat="true" ht="14.9" hidden="false" customHeight="false" outlineLevel="0" collapsed="false">
      <c r="A518" s="380" t="n">
        <v>508</v>
      </c>
      <c r="B518" s="381" t="str">
        <f aca="false">CONCATENATE(INT((A518-1)/12)+1,"-й год ",A518-1-INT((A518-1)/12)*12+1,"-й мес")</f>
        <v>43-й год 4-й мес</v>
      </c>
      <c r="C518" s="382" t="n">
        <f aca="false">DATE(YEAR(C517),MONTH(C517)+1,DAY(C517))</f>
        <v>59323</v>
      </c>
      <c r="D518" s="383" t="n">
        <f aca="false">IFERROR(IF(R518*$D$4/100/12/(1-(1+$D$4/100/12)^(-Q518))&lt;G517,ROUNDUP(R518*$D$4/100/12/(1-(1+$D$4/100/12)^(-Q518)),0),G517+F518),0)</f>
        <v>0</v>
      </c>
      <c r="E518" s="384" t="n">
        <f aca="false">D518-F518</f>
        <v>0</v>
      </c>
      <c r="F518" s="384" t="n">
        <f aca="false">G517*$D$4*(C518-C517)/(DATE(YEAR(C518)+1,1,1)-DATE(YEAR(C518),1,1))/100</f>
        <v>0</v>
      </c>
      <c r="G518" s="385" t="n">
        <f aca="false">G517-E518-L518-M518</f>
        <v>0</v>
      </c>
      <c r="H518" s="386" t="n">
        <f aca="false">IFERROR(I518+J518,0)</f>
        <v>0</v>
      </c>
      <c r="I518" s="384" t="n">
        <f aca="false">IFERROR(IF($D$3/$D$5&lt;K517,$D$3/$D$5,K517),0)</f>
        <v>0</v>
      </c>
      <c r="J518" s="384" t="n">
        <f aca="false">K517*$D$4/12/100</f>
        <v>0</v>
      </c>
      <c r="K518" s="387" t="n">
        <f aca="false">K517-I518-L518-M518</f>
        <v>0</v>
      </c>
      <c r="L518" s="388"/>
      <c r="M518" s="389"/>
      <c r="N518" s="409"/>
      <c r="O518" s="409"/>
      <c r="P518" s="391" t="n">
        <f aca="false">IF(ISBLANK(L517),VALUE(P517),ROW(L517))</f>
        <v>10</v>
      </c>
      <c r="Q518" s="314" t="n">
        <f aca="false">Q517+P517-P518</f>
        <v>12</v>
      </c>
      <c r="R518" s="314" t="n">
        <f aca="false">INDEX(G:G,P518,1)</f>
        <v>69000</v>
      </c>
      <c r="S518" s="312"/>
    </row>
    <row r="519" s="379" customFormat="true" ht="14.9" hidden="false" customHeight="false" outlineLevel="0" collapsed="false">
      <c r="A519" s="380" t="n">
        <v>509</v>
      </c>
      <c r="B519" s="381" t="str">
        <f aca="false">CONCATENATE(INT((A519-1)/12)+1,"-й год ",A519-1-INT((A519-1)/12)*12+1,"-й мес")</f>
        <v>43-й год 5-й мес</v>
      </c>
      <c r="C519" s="382" t="n">
        <f aca="false">DATE(YEAR(C518),MONTH(C518)+1,DAY(C518))</f>
        <v>59353</v>
      </c>
      <c r="D519" s="383" t="n">
        <f aca="false">IFERROR(IF(R519*$D$4/100/12/(1-(1+$D$4/100/12)^(-Q519))&lt;G518,ROUNDUP(R519*$D$4/100/12/(1-(1+$D$4/100/12)^(-Q519)),0),G518+F519),0)</f>
        <v>0</v>
      </c>
      <c r="E519" s="384" t="n">
        <f aca="false">D519-F519</f>
        <v>0</v>
      </c>
      <c r="F519" s="384" t="n">
        <f aca="false">G518*$D$4*(C519-C518)/(DATE(YEAR(C519)+1,1,1)-DATE(YEAR(C519),1,1))/100</f>
        <v>0</v>
      </c>
      <c r="G519" s="385" t="n">
        <f aca="false">G518-E519-L519-M519</f>
        <v>0</v>
      </c>
      <c r="H519" s="386" t="n">
        <f aca="false">IFERROR(I519+J519,0)</f>
        <v>0</v>
      </c>
      <c r="I519" s="384" t="n">
        <f aca="false">IFERROR(IF($D$3/$D$5&lt;K518,$D$3/$D$5,K518),0)</f>
        <v>0</v>
      </c>
      <c r="J519" s="384" t="n">
        <f aca="false">K518*$D$4/12/100</f>
        <v>0</v>
      </c>
      <c r="K519" s="387" t="n">
        <f aca="false">K518-I519-L519-M519</f>
        <v>0</v>
      </c>
      <c r="L519" s="388"/>
      <c r="M519" s="389"/>
      <c r="N519" s="409"/>
      <c r="O519" s="409"/>
      <c r="P519" s="391" t="n">
        <f aca="false">IF(ISBLANK(L518),VALUE(P518),ROW(L518))</f>
        <v>10</v>
      </c>
      <c r="Q519" s="314" t="n">
        <f aca="false">Q518+P518-P519</f>
        <v>12</v>
      </c>
      <c r="R519" s="314" t="n">
        <f aca="false">INDEX(G:G,P519,1)</f>
        <v>69000</v>
      </c>
      <c r="S519" s="312"/>
    </row>
    <row r="520" s="379" customFormat="true" ht="14.9" hidden="false" customHeight="false" outlineLevel="0" collapsed="false">
      <c r="A520" s="380" t="n">
        <v>510</v>
      </c>
      <c r="B520" s="381" t="str">
        <f aca="false">CONCATENATE(INT((A520-1)/12)+1,"-й год ",A520-1-INT((A520-1)/12)*12+1,"-й мес")</f>
        <v>43-й год 6-й мес</v>
      </c>
      <c r="C520" s="382" t="n">
        <f aca="false">DATE(YEAR(C519),MONTH(C519)+1,DAY(C519))</f>
        <v>59384</v>
      </c>
      <c r="D520" s="383" t="n">
        <f aca="false">IFERROR(IF(R520*$D$4/100/12/(1-(1+$D$4/100/12)^(-Q520))&lt;G519,ROUNDUP(R520*$D$4/100/12/(1-(1+$D$4/100/12)^(-Q520)),0),G519+F520),0)</f>
        <v>0</v>
      </c>
      <c r="E520" s="384" t="n">
        <f aca="false">D520-F520</f>
        <v>0</v>
      </c>
      <c r="F520" s="384" t="n">
        <f aca="false">G519*$D$4*(C520-C519)/(DATE(YEAR(C520)+1,1,1)-DATE(YEAR(C520),1,1))/100</f>
        <v>0</v>
      </c>
      <c r="G520" s="385" t="n">
        <f aca="false">G519-E520-L520-M520</f>
        <v>0</v>
      </c>
      <c r="H520" s="386" t="n">
        <f aca="false">IFERROR(I520+J520,0)</f>
        <v>0</v>
      </c>
      <c r="I520" s="384" t="n">
        <f aca="false">IFERROR(IF($D$3/$D$5&lt;K519,$D$3/$D$5,K519),0)</f>
        <v>0</v>
      </c>
      <c r="J520" s="384" t="n">
        <f aca="false">K519*$D$4/12/100</f>
        <v>0</v>
      </c>
      <c r="K520" s="387" t="n">
        <f aca="false">K519-I520-L520-M520</f>
        <v>0</v>
      </c>
      <c r="L520" s="388"/>
      <c r="M520" s="389"/>
      <c r="N520" s="409"/>
      <c r="O520" s="409"/>
      <c r="P520" s="391" t="n">
        <f aca="false">IF(ISBLANK(L519),VALUE(P519),ROW(L519))</f>
        <v>10</v>
      </c>
      <c r="Q520" s="314" t="n">
        <f aca="false">Q519+P519-P520</f>
        <v>12</v>
      </c>
      <c r="R520" s="314" t="n">
        <f aca="false">INDEX(G:G,P520,1)</f>
        <v>69000</v>
      </c>
      <c r="S520" s="312"/>
    </row>
    <row r="521" s="379" customFormat="true" ht="14.9" hidden="false" customHeight="false" outlineLevel="0" collapsed="false">
      <c r="A521" s="380" t="n">
        <v>511</v>
      </c>
      <c r="B521" s="381" t="str">
        <f aca="false">CONCATENATE(INT((A521-1)/12)+1,"-й год ",A521-1-INT((A521-1)/12)*12+1,"-й мес")</f>
        <v>43-й год 7-й мес</v>
      </c>
      <c r="C521" s="382" t="n">
        <f aca="false">DATE(YEAR(C520),MONTH(C520)+1,DAY(C520))</f>
        <v>59415</v>
      </c>
      <c r="D521" s="383" t="n">
        <f aca="false">IFERROR(IF(R521*$D$4/100/12/(1-(1+$D$4/100/12)^(-Q521))&lt;G520,ROUNDUP(R521*$D$4/100/12/(1-(1+$D$4/100/12)^(-Q521)),0),G520+F521),0)</f>
        <v>0</v>
      </c>
      <c r="E521" s="384" t="n">
        <f aca="false">D521-F521</f>
        <v>0</v>
      </c>
      <c r="F521" s="384" t="n">
        <f aca="false">G520*$D$4*(C521-C520)/(DATE(YEAR(C521)+1,1,1)-DATE(YEAR(C521),1,1))/100</f>
        <v>0</v>
      </c>
      <c r="G521" s="385" t="n">
        <f aca="false">G520-E521-L521-M521</f>
        <v>0</v>
      </c>
      <c r="H521" s="386" t="n">
        <f aca="false">IFERROR(I521+J521,0)</f>
        <v>0</v>
      </c>
      <c r="I521" s="384" t="n">
        <f aca="false">IFERROR(IF($D$3/$D$5&lt;K520,$D$3/$D$5,K520),0)</f>
        <v>0</v>
      </c>
      <c r="J521" s="384" t="n">
        <f aca="false">K520*$D$4/12/100</f>
        <v>0</v>
      </c>
      <c r="K521" s="387" t="n">
        <f aca="false">K520-I521-L521-M521</f>
        <v>0</v>
      </c>
      <c r="L521" s="388"/>
      <c r="M521" s="389"/>
      <c r="N521" s="409"/>
      <c r="O521" s="409"/>
      <c r="P521" s="391" t="n">
        <f aca="false">IF(ISBLANK(L520),VALUE(P520),ROW(L520))</f>
        <v>10</v>
      </c>
      <c r="Q521" s="314" t="n">
        <f aca="false">Q520+P520-P521</f>
        <v>12</v>
      </c>
      <c r="R521" s="314" t="n">
        <f aca="false">INDEX(G:G,P521,1)</f>
        <v>69000</v>
      </c>
      <c r="S521" s="312"/>
    </row>
    <row r="522" s="379" customFormat="true" ht="14.9" hidden="false" customHeight="false" outlineLevel="0" collapsed="false">
      <c r="A522" s="380" t="n">
        <v>512</v>
      </c>
      <c r="B522" s="381" t="str">
        <f aca="false">CONCATENATE(INT((A522-1)/12)+1,"-й год ",A522-1-INT((A522-1)/12)*12+1,"-й мес")</f>
        <v>43-й год 8-й мес</v>
      </c>
      <c r="C522" s="382" t="n">
        <f aca="false">DATE(YEAR(C521),MONTH(C521)+1,DAY(C521))</f>
        <v>59445</v>
      </c>
      <c r="D522" s="383" t="n">
        <f aca="false">IFERROR(IF(R522*$D$4/100/12/(1-(1+$D$4/100/12)^(-Q522))&lt;G521,ROUNDUP(R522*$D$4/100/12/(1-(1+$D$4/100/12)^(-Q522)),0),G521+F522),0)</f>
        <v>0</v>
      </c>
      <c r="E522" s="384" t="n">
        <f aca="false">D522-F522</f>
        <v>0</v>
      </c>
      <c r="F522" s="384" t="n">
        <f aca="false">G521*$D$4*(C522-C521)/(DATE(YEAR(C522)+1,1,1)-DATE(YEAR(C522),1,1))/100</f>
        <v>0</v>
      </c>
      <c r="G522" s="385" t="n">
        <f aca="false">G521-E522-L522-M522</f>
        <v>0</v>
      </c>
      <c r="H522" s="386" t="n">
        <f aca="false">IFERROR(I522+J522,0)</f>
        <v>0</v>
      </c>
      <c r="I522" s="384" t="n">
        <f aca="false">IFERROR(IF($D$3/$D$5&lt;K521,$D$3/$D$5,K521),0)</f>
        <v>0</v>
      </c>
      <c r="J522" s="384" t="n">
        <f aca="false">K521*$D$4/12/100</f>
        <v>0</v>
      </c>
      <c r="K522" s="387" t="n">
        <f aca="false">K521-I522-L522-M522</f>
        <v>0</v>
      </c>
      <c r="L522" s="388"/>
      <c r="M522" s="389"/>
      <c r="N522" s="409"/>
      <c r="O522" s="409"/>
      <c r="P522" s="391" t="n">
        <f aca="false">IF(ISBLANK(L521),VALUE(P521),ROW(L521))</f>
        <v>10</v>
      </c>
      <c r="Q522" s="314" t="n">
        <f aca="false">Q521+P521-P522</f>
        <v>12</v>
      </c>
      <c r="R522" s="314" t="n">
        <f aca="false">INDEX(G:G,P522,1)</f>
        <v>69000</v>
      </c>
      <c r="S522" s="312"/>
    </row>
    <row r="523" s="379" customFormat="true" ht="14.9" hidden="true" customHeight="false" outlineLevel="0" collapsed="false">
      <c r="A523" s="380" t="n">
        <v>513</v>
      </c>
      <c r="B523" s="412"/>
      <c r="C523" s="413" t="n">
        <f aca="false">DATE(YEAR(C522),MONTH(C522)+1,DAY(C522))</f>
        <v>59476</v>
      </c>
      <c r="D523" s="383" t="n">
        <f aca="false">IF(R523*$D$4/100/12/(1-(1+$D$4/100/12)^(-Q523))&lt;G522,ROUNDUP(R523*$D$4/100/12/(1-(1+$D$4/100/12)^(-Q523)),0),G522+F523)</f>
        <v>0</v>
      </c>
      <c r="E523" s="384" t="n">
        <f aca="false">D523-F523</f>
        <v>0</v>
      </c>
      <c r="F523" s="384" t="n">
        <f aca="false">G522*$D$4*(C523-C522)/(DATE(YEAR(C523)+1,1,1)-DATE(YEAR(C523),1,1))/100</f>
        <v>0</v>
      </c>
      <c r="G523" s="385" t="n">
        <f aca="false">G522-E523-L523-M523</f>
        <v>0</v>
      </c>
      <c r="H523" s="386" t="n">
        <f aca="false">I523+J523</f>
        <v>0</v>
      </c>
      <c r="I523" s="384" t="n">
        <f aca="false">IF($D$3/$D$5&lt;K522,$D$3/$D$5,K522)</f>
        <v>0</v>
      </c>
      <c r="J523" s="384" t="n">
        <f aca="false">K522*$D$4/12/100</f>
        <v>0</v>
      </c>
      <c r="K523" s="387" t="n">
        <f aca="false">K522-I523-L523-M523</f>
        <v>0</v>
      </c>
      <c r="L523" s="388"/>
      <c r="M523" s="389"/>
      <c r="N523" s="409"/>
      <c r="O523" s="409"/>
      <c r="P523" s="391" t="n">
        <f aca="false">IF(ISBLANK(L522),VALUE(P522),ROW(L522))</f>
        <v>10</v>
      </c>
      <c r="Q523" s="314" t="n">
        <f aca="false">Q522+P522-P523</f>
        <v>12</v>
      </c>
      <c r="R523" s="314" t="n">
        <f aca="false">INDEX(G:G,P523,1)</f>
        <v>69000</v>
      </c>
      <c r="S523" s="312"/>
    </row>
    <row r="524" s="379" customFormat="true" ht="14.9" hidden="true" customHeight="false" outlineLevel="0" collapsed="false">
      <c r="A524" s="380" t="n">
        <v>514</v>
      </c>
      <c r="B524" s="412"/>
      <c r="C524" s="413" t="n">
        <f aca="false">DATE(YEAR(C523),MONTH(C523)+1,DAY(C523))</f>
        <v>59506</v>
      </c>
      <c r="D524" s="383" t="n">
        <f aca="false">IF(R524*$D$4/100/12/(1-(1+$D$4/100/12)^(-Q524))&lt;G523,ROUNDUP(R524*$D$4/100/12/(1-(1+$D$4/100/12)^(-Q524)),0),G523+F524)</f>
        <v>0</v>
      </c>
      <c r="E524" s="384" t="n">
        <f aca="false">D524-F524</f>
        <v>0</v>
      </c>
      <c r="F524" s="384" t="n">
        <f aca="false">G523*$D$4*(C524-C523)/(DATE(YEAR(C524)+1,1,1)-DATE(YEAR(C524),1,1))/100</f>
        <v>0</v>
      </c>
      <c r="G524" s="385" t="n">
        <f aca="false">G523-E524-L524-M524</f>
        <v>0</v>
      </c>
      <c r="H524" s="386" t="n">
        <f aca="false">I524+J524</f>
        <v>0</v>
      </c>
      <c r="I524" s="384" t="n">
        <f aca="false">IF($D$3/$D$5&lt;K523,$D$3/$D$5,K523)</f>
        <v>0</v>
      </c>
      <c r="J524" s="384" t="n">
        <f aca="false">K523*$D$4/12/100</f>
        <v>0</v>
      </c>
      <c r="K524" s="387" t="n">
        <f aca="false">K523-I524-L524-M524</f>
        <v>0</v>
      </c>
      <c r="L524" s="388"/>
      <c r="M524" s="389"/>
      <c r="N524" s="409"/>
      <c r="O524" s="409"/>
      <c r="P524" s="391" t="n">
        <f aca="false">IF(ISBLANK(L523),VALUE(P523),ROW(L523))</f>
        <v>10</v>
      </c>
      <c r="Q524" s="314" t="n">
        <f aca="false">Q523+P523-P524</f>
        <v>12</v>
      </c>
      <c r="R524" s="314" t="n">
        <f aca="false">INDEX(G:G,P524,1)</f>
        <v>69000</v>
      </c>
      <c r="S524" s="312"/>
    </row>
    <row r="525" s="379" customFormat="true" ht="14.9" hidden="true" customHeight="false" outlineLevel="0" collapsed="false">
      <c r="A525" s="380" t="n">
        <v>515</v>
      </c>
      <c r="B525" s="412"/>
      <c r="C525" s="413" t="n">
        <f aca="false">DATE(YEAR(C524),MONTH(C524)+1,DAY(C524))</f>
        <v>59537</v>
      </c>
      <c r="D525" s="383" t="n">
        <f aca="false">IF(R525*$D$4/100/12/(1-(1+$D$4/100/12)^(-Q525))&lt;G524,ROUNDUP(R525*$D$4/100/12/(1-(1+$D$4/100/12)^(-Q525)),0),G524+F525)</f>
        <v>0</v>
      </c>
      <c r="E525" s="384" t="n">
        <f aca="false">D525-F525</f>
        <v>0</v>
      </c>
      <c r="F525" s="384" t="n">
        <f aca="false">G524*$D$4*(C525-C524)/(DATE(YEAR(C525)+1,1,1)-DATE(YEAR(C525),1,1))/100</f>
        <v>0</v>
      </c>
      <c r="G525" s="385" t="n">
        <f aca="false">G524-E525-L525-M525</f>
        <v>0</v>
      </c>
      <c r="H525" s="386" t="n">
        <f aca="false">I525+J525</f>
        <v>0</v>
      </c>
      <c r="I525" s="384" t="n">
        <f aca="false">IF($D$3/$D$5&lt;K524,$D$3/$D$5,K524)</f>
        <v>0</v>
      </c>
      <c r="J525" s="384" t="n">
        <f aca="false">K524*$D$4/12/100</f>
        <v>0</v>
      </c>
      <c r="K525" s="387" t="n">
        <f aca="false">K524-I525-L525-M525</f>
        <v>0</v>
      </c>
      <c r="L525" s="388"/>
      <c r="M525" s="389"/>
      <c r="N525" s="409"/>
      <c r="O525" s="409"/>
      <c r="P525" s="391" t="n">
        <f aca="false">IF(ISBLANK(L524),VALUE(P524),ROW(L524))</f>
        <v>10</v>
      </c>
      <c r="Q525" s="314" t="n">
        <f aca="false">Q524+P524-P525</f>
        <v>12</v>
      </c>
      <c r="R525" s="314" t="n">
        <f aca="false">INDEX(G:G,P525,1)</f>
        <v>69000</v>
      </c>
      <c r="S525" s="312"/>
    </row>
    <row r="526" s="379" customFormat="true" ht="14.9" hidden="true" customHeight="false" outlineLevel="0" collapsed="false">
      <c r="A526" s="380" t="n">
        <v>516</v>
      </c>
      <c r="B526" s="412"/>
      <c r="C526" s="413" t="n">
        <f aca="false">DATE(YEAR(C525),MONTH(C525)+1,DAY(C525))</f>
        <v>59568</v>
      </c>
      <c r="D526" s="383" t="n">
        <f aca="false">IF(R526*$D$4/100/12/(1-(1+$D$4/100/12)^(-Q526))&lt;G525,ROUNDUP(R526*$D$4/100/12/(1-(1+$D$4/100/12)^(-Q526)),0),G525+F526)</f>
        <v>0</v>
      </c>
      <c r="E526" s="384" t="n">
        <f aca="false">D526-F526</f>
        <v>0</v>
      </c>
      <c r="F526" s="384" t="n">
        <f aca="false">G525*$D$4*(C526-C525)/(DATE(YEAR(C526)+1,1,1)-DATE(YEAR(C526),1,1))/100</f>
        <v>0</v>
      </c>
      <c r="G526" s="385" t="n">
        <f aca="false">G525-E526-L526-M526</f>
        <v>0</v>
      </c>
      <c r="H526" s="386" t="n">
        <f aca="false">I526+J526</f>
        <v>0</v>
      </c>
      <c r="I526" s="384" t="n">
        <f aca="false">IF($D$3/$D$5&lt;K525,$D$3/$D$5,K525)</f>
        <v>0</v>
      </c>
      <c r="J526" s="384" t="n">
        <f aca="false">K525*$D$4/12/100</f>
        <v>0</v>
      </c>
      <c r="K526" s="387" t="n">
        <f aca="false">K525-I526-L526-M526</f>
        <v>0</v>
      </c>
      <c r="L526" s="388"/>
      <c r="M526" s="389"/>
      <c r="N526" s="409"/>
      <c r="O526" s="409"/>
      <c r="P526" s="391" t="n">
        <f aca="false">IF(ISBLANK(L525),VALUE(P525),ROW(L525))</f>
        <v>10</v>
      </c>
      <c r="Q526" s="314" t="n">
        <f aca="false">Q525+P525-P526</f>
        <v>12</v>
      </c>
      <c r="R526" s="314" t="n">
        <f aca="false">INDEX(G:G,P526,1)</f>
        <v>69000</v>
      </c>
      <c r="S526" s="312"/>
    </row>
    <row r="527" s="379" customFormat="true" ht="14.9" hidden="true" customHeight="false" outlineLevel="0" collapsed="false">
      <c r="A527" s="396" t="n">
        <v>517</v>
      </c>
      <c r="B527" s="414"/>
      <c r="C527" s="413" t="n">
        <f aca="false">DATE(YEAR(C526),MONTH(C526)+1,DAY(C526))</f>
        <v>59596</v>
      </c>
      <c r="D527" s="383" t="n">
        <f aca="false">IF(R527*$D$4/100/12/(1-(1+$D$4/100/12)^(-Q527))&lt;G526,ROUNDUP(R527*$D$4/100/12/(1-(1+$D$4/100/12)^(-Q527)),0),G526+F527)</f>
        <v>0</v>
      </c>
      <c r="E527" s="399" t="n">
        <f aca="false">D527-F527</f>
        <v>0</v>
      </c>
      <c r="F527" s="384" t="n">
        <f aca="false">G526*$D$4*(C527-C526)/(DATE(YEAR(C527)+1,1,1)-DATE(YEAR(C527),1,1))/100</f>
        <v>0</v>
      </c>
      <c r="G527" s="397" t="n">
        <f aca="false">G526-E527-L527-M527</f>
        <v>0</v>
      </c>
      <c r="H527" s="398" t="n">
        <f aca="false">I527+J527</f>
        <v>0</v>
      </c>
      <c r="I527" s="399" t="n">
        <f aca="false">IF($D$3/$D$5&lt;K526,$D$3/$D$5,K526)</f>
        <v>0</v>
      </c>
      <c r="J527" s="399" t="n">
        <f aca="false">K526*$D$4/12/100</f>
        <v>0</v>
      </c>
      <c r="K527" s="400" t="n">
        <f aca="false">K526-I527-L527-M527</f>
        <v>0</v>
      </c>
      <c r="L527" s="401"/>
      <c r="M527" s="402"/>
      <c r="N527" s="409"/>
      <c r="O527" s="409"/>
      <c r="P527" s="391" t="n">
        <f aca="false">IF(ISBLANK(L526),VALUE(P526),ROW(L526))</f>
        <v>10</v>
      </c>
      <c r="Q527" s="314" t="n">
        <f aca="false">Q526+P526-P527</f>
        <v>12</v>
      </c>
      <c r="R527" s="314" t="n">
        <f aca="false">INDEX(G:G,P527,1)</f>
        <v>69000</v>
      </c>
      <c r="S527" s="312"/>
    </row>
    <row r="528" s="379" customFormat="true" ht="14.9" hidden="true" customHeight="false" outlineLevel="0" collapsed="false">
      <c r="A528" s="403" t="n">
        <v>518</v>
      </c>
      <c r="B528" s="414"/>
      <c r="C528" s="413" t="n">
        <f aca="false">DATE(YEAR(C527),MONTH(C527)+1,DAY(C527))</f>
        <v>59627</v>
      </c>
      <c r="D528" s="383" t="n">
        <f aca="false">IF(R528*$D$4/100/12/(1-(1+$D$4/100/12)^(-Q528))&lt;G527,ROUNDUP(R528*$D$4/100/12/(1-(1+$D$4/100/12)^(-Q528)),0),G527+F528)</f>
        <v>0</v>
      </c>
      <c r="E528" s="384" t="n">
        <f aca="false">D528-F528</f>
        <v>0</v>
      </c>
      <c r="F528" s="384" t="n">
        <f aca="false">G527*$D$4*(C528-C527)/(DATE(YEAR(C528)+1,1,1)-DATE(YEAR(C528),1,1))/100</f>
        <v>0</v>
      </c>
      <c r="G528" s="385" t="n">
        <f aca="false">G527-E528-L528-M528</f>
        <v>0</v>
      </c>
      <c r="H528" s="386" t="n">
        <f aca="false">I528+J528</f>
        <v>0</v>
      </c>
      <c r="I528" s="384" t="n">
        <f aca="false">IF($D$3/$D$5&lt;K527,$D$3/$D$5,K527)</f>
        <v>0</v>
      </c>
      <c r="J528" s="384" t="n">
        <f aca="false">K527*$D$4/12/100</f>
        <v>0</v>
      </c>
      <c r="K528" s="387" t="n">
        <f aca="false">K527-I528-L528-M528</f>
        <v>0</v>
      </c>
      <c r="L528" s="388"/>
      <c r="M528" s="389"/>
      <c r="N528" s="409"/>
      <c r="O528" s="409"/>
      <c r="P528" s="391" t="n">
        <f aca="false">IF(ISBLANK(L527),VALUE(P527),ROW(L527))</f>
        <v>10</v>
      </c>
      <c r="Q528" s="314" t="n">
        <f aca="false">Q527+P527-P528</f>
        <v>12</v>
      </c>
      <c r="R528" s="314" t="n">
        <f aca="false">INDEX(G:G,P528,1)</f>
        <v>69000</v>
      </c>
      <c r="S528" s="312"/>
    </row>
    <row r="529" s="379" customFormat="true" ht="14.9" hidden="true" customHeight="false" outlineLevel="0" collapsed="false">
      <c r="A529" s="403" t="n">
        <v>519</v>
      </c>
      <c r="B529" s="414"/>
      <c r="C529" s="413" t="n">
        <f aca="false">DATE(YEAR(C528),MONTH(C528)+1,DAY(C528))</f>
        <v>59657</v>
      </c>
      <c r="D529" s="383" t="n">
        <f aca="false">IF(R529*$D$4/100/12/(1-(1+$D$4/100/12)^(-Q529))&lt;G528,ROUNDUP(R529*$D$4/100/12/(1-(1+$D$4/100/12)^(-Q529)),0),G528+F529)</f>
        <v>0</v>
      </c>
      <c r="E529" s="384" t="n">
        <f aca="false">D529-F529</f>
        <v>0</v>
      </c>
      <c r="F529" s="384" t="n">
        <f aca="false">G528*$D$4*(C529-C528)/(DATE(YEAR(C529)+1,1,1)-DATE(YEAR(C529),1,1))/100</f>
        <v>0</v>
      </c>
      <c r="G529" s="385" t="n">
        <f aca="false">G528-E529-L529-M529</f>
        <v>0</v>
      </c>
      <c r="H529" s="386" t="n">
        <f aca="false">I529+J529</f>
        <v>0</v>
      </c>
      <c r="I529" s="384" t="n">
        <f aca="false">IF($D$3/$D$5&lt;K528,$D$3/$D$5,K528)</f>
        <v>0</v>
      </c>
      <c r="J529" s="384" t="n">
        <f aca="false">K528*$D$4/12/100</f>
        <v>0</v>
      </c>
      <c r="K529" s="387" t="n">
        <f aca="false">K528-I529-L529-M529</f>
        <v>0</v>
      </c>
      <c r="L529" s="388"/>
      <c r="M529" s="389"/>
      <c r="N529" s="409"/>
      <c r="O529" s="409"/>
      <c r="P529" s="391" t="n">
        <f aca="false">IF(ISBLANK(L528),VALUE(P528),ROW(L528))</f>
        <v>10</v>
      </c>
      <c r="Q529" s="314" t="n">
        <f aca="false">Q528+P528-P529</f>
        <v>12</v>
      </c>
      <c r="R529" s="314" t="n">
        <f aca="false">INDEX(G:G,P529,1)</f>
        <v>69000</v>
      </c>
      <c r="S529" s="312"/>
    </row>
    <row r="530" s="379" customFormat="true" ht="14.9" hidden="true" customHeight="false" outlineLevel="0" collapsed="false">
      <c r="A530" s="403" t="n">
        <v>520</v>
      </c>
      <c r="B530" s="414"/>
      <c r="C530" s="413" t="n">
        <f aca="false">DATE(YEAR(C529),MONTH(C529)+1,DAY(C529))</f>
        <v>59688</v>
      </c>
      <c r="D530" s="383" t="n">
        <f aca="false">IF(R530*$D$4/100/12/(1-(1+$D$4/100/12)^(-Q530))&lt;G529,ROUNDUP(R530*$D$4/100/12/(1-(1+$D$4/100/12)^(-Q530)),0),G529+F530)</f>
        <v>0</v>
      </c>
      <c r="E530" s="384" t="n">
        <f aca="false">D530-F530</f>
        <v>0</v>
      </c>
      <c r="F530" s="384" t="n">
        <f aca="false">G529*$D$4*(C530-C529)/(DATE(YEAR(C530)+1,1,1)-DATE(YEAR(C530),1,1))/100</f>
        <v>0</v>
      </c>
      <c r="G530" s="385" t="n">
        <f aca="false">G529-E530-L530-M530</f>
        <v>0</v>
      </c>
      <c r="H530" s="386" t="n">
        <f aca="false">I530+J530</f>
        <v>0</v>
      </c>
      <c r="I530" s="384" t="n">
        <f aca="false">IF($D$3/$D$5&lt;K529,$D$3/$D$5,K529)</f>
        <v>0</v>
      </c>
      <c r="J530" s="384" t="n">
        <f aca="false">K529*$D$4/12/100</f>
        <v>0</v>
      </c>
      <c r="K530" s="387" t="n">
        <f aca="false">K529-I530-L530-M530</f>
        <v>0</v>
      </c>
      <c r="L530" s="388"/>
      <c r="M530" s="389"/>
      <c r="N530" s="409"/>
      <c r="O530" s="409"/>
      <c r="P530" s="391" t="n">
        <f aca="false">IF(ISBLANK(L529),VALUE(P529),ROW(L529))</f>
        <v>10</v>
      </c>
      <c r="Q530" s="314" t="n">
        <f aca="false">Q529+P529-P530</f>
        <v>12</v>
      </c>
      <c r="R530" s="314" t="n">
        <f aca="false">INDEX(G:G,P530,1)</f>
        <v>69000</v>
      </c>
      <c r="S530" s="312"/>
    </row>
    <row r="531" s="379" customFormat="true" ht="14.9" hidden="true" customHeight="false" outlineLevel="0" collapsed="false">
      <c r="A531" s="403" t="n">
        <v>521</v>
      </c>
      <c r="B531" s="414"/>
      <c r="C531" s="413" t="n">
        <f aca="false">DATE(YEAR(C530),MONTH(C530)+1,DAY(C530))</f>
        <v>59718</v>
      </c>
      <c r="D531" s="383" t="n">
        <f aca="false">IF(R531*$D$4/100/12/(1-(1+$D$4/100/12)^(-Q531))&lt;G530,ROUNDUP(R531*$D$4/100/12/(1-(1+$D$4/100/12)^(-Q531)),0),G530+F531)</f>
        <v>0</v>
      </c>
      <c r="E531" s="384" t="n">
        <f aca="false">D531-F531</f>
        <v>0</v>
      </c>
      <c r="F531" s="384" t="n">
        <f aca="false">G530*$D$4*(C531-C530)/(DATE(YEAR(C531)+1,1,1)-DATE(YEAR(C531),1,1))/100</f>
        <v>0</v>
      </c>
      <c r="G531" s="385" t="n">
        <f aca="false">G530-E531-L531-M531</f>
        <v>0</v>
      </c>
      <c r="H531" s="386" t="n">
        <f aca="false">I531+J531</f>
        <v>0</v>
      </c>
      <c r="I531" s="384" t="n">
        <f aca="false">IF($D$3/$D$5&lt;K530,$D$3/$D$5,K530)</f>
        <v>0</v>
      </c>
      <c r="J531" s="384" t="n">
        <f aca="false">K530*$D$4/12/100</f>
        <v>0</v>
      </c>
      <c r="K531" s="387" t="n">
        <f aca="false">K530-I531-L531-M531</f>
        <v>0</v>
      </c>
      <c r="L531" s="388"/>
      <c r="M531" s="389"/>
      <c r="N531" s="409"/>
      <c r="O531" s="409"/>
      <c r="P531" s="391" t="n">
        <f aca="false">IF(ISBLANK(L530),VALUE(P530),ROW(L530))</f>
        <v>10</v>
      </c>
      <c r="Q531" s="314" t="n">
        <f aca="false">Q530+P530-P531</f>
        <v>12</v>
      </c>
      <c r="R531" s="314" t="n">
        <f aca="false">INDEX(G:G,P531,1)</f>
        <v>69000</v>
      </c>
      <c r="S531" s="312"/>
    </row>
    <row r="532" s="379" customFormat="true" ht="14.9" hidden="true" customHeight="false" outlineLevel="0" collapsed="false">
      <c r="A532" s="403" t="n">
        <v>522</v>
      </c>
      <c r="B532" s="414"/>
      <c r="C532" s="413" t="n">
        <f aca="false">DATE(YEAR(C531),MONTH(C531)+1,DAY(C531))</f>
        <v>59749</v>
      </c>
      <c r="D532" s="383" t="n">
        <f aca="false">IF(R532*$D$4/100/12/(1-(1+$D$4/100/12)^(-Q532))&lt;G531,ROUNDUP(R532*$D$4/100/12/(1-(1+$D$4/100/12)^(-Q532)),0),G531+F532)</f>
        <v>0</v>
      </c>
      <c r="E532" s="384" t="n">
        <f aca="false">D532-F532</f>
        <v>0</v>
      </c>
      <c r="F532" s="384" t="n">
        <f aca="false">G531*$D$4*(C532-C531)/(DATE(YEAR(C532)+1,1,1)-DATE(YEAR(C532),1,1))/100</f>
        <v>0</v>
      </c>
      <c r="G532" s="385" t="n">
        <f aca="false">G531-E532-L532-M532</f>
        <v>0</v>
      </c>
      <c r="H532" s="386" t="n">
        <f aca="false">I532+J532</f>
        <v>0</v>
      </c>
      <c r="I532" s="384" t="n">
        <f aca="false">IF($D$3/$D$5&lt;K531,$D$3/$D$5,K531)</f>
        <v>0</v>
      </c>
      <c r="J532" s="384" t="n">
        <f aca="false">K531*$D$4/12/100</f>
        <v>0</v>
      </c>
      <c r="K532" s="387" t="n">
        <f aca="false">K531-I532-L532-M532</f>
        <v>0</v>
      </c>
      <c r="L532" s="388"/>
      <c r="M532" s="389"/>
      <c r="N532" s="409"/>
      <c r="O532" s="409"/>
      <c r="P532" s="391" t="n">
        <f aca="false">IF(ISBLANK(L531),VALUE(P531),ROW(L531))</f>
        <v>10</v>
      </c>
      <c r="Q532" s="314" t="n">
        <f aca="false">Q531+P531-P532</f>
        <v>12</v>
      </c>
      <c r="R532" s="314" t="n">
        <f aca="false">INDEX(G:G,P532,1)</f>
        <v>69000</v>
      </c>
      <c r="S532" s="312"/>
    </row>
    <row r="533" s="379" customFormat="true" ht="14.9" hidden="true" customHeight="false" outlineLevel="0" collapsed="false">
      <c r="A533" s="403" t="n">
        <v>523</v>
      </c>
      <c r="B533" s="414"/>
      <c r="C533" s="413" t="n">
        <f aca="false">DATE(YEAR(C532),MONTH(C532)+1,DAY(C532))</f>
        <v>59780</v>
      </c>
      <c r="D533" s="383" t="n">
        <f aca="false">IF(R533*$D$4/100/12/(1-(1+$D$4/100/12)^(-Q533))&lt;G532,ROUNDUP(R533*$D$4/100/12/(1-(1+$D$4/100/12)^(-Q533)),0),G532+F533)</f>
        <v>0</v>
      </c>
      <c r="E533" s="384" t="n">
        <f aca="false">D533-F533</f>
        <v>0</v>
      </c>
      <c r="F533" s="384" t="n">
        <f aca="false">G532*$D$4*(C533-C532)/(DATE(YEAR(C533)+1,1,1)-DATE(YEAR(C533),1,1))/100</f>
        <v>0</v>
      </c>
      <c r="G533" s="385" t="n">
        <f aca="false">G532-E533-L533-M533</f>
        <v>0</v>
      </c>
      <c r="H533" s="386" t="n">
        <f aca="false">I533+J533</f>
        <v>0</v>
      </c>
      <c r="I533" s="384" t="n">
        <f aca="false">IF($D$3/$D$5&lt;K532,$D$3/$D$5,K532)</f>
        <v>0</v>
      </c>
      <c r="J533" s="384" t="n">
        <f aca="false">K532*$D$4/12/100</f>
        <v>0</v>
      </c>
      <c r="K533" s="387" t="n">
        <f aca="false">K532-I533-L533-M533</f>
        <v>0</v>
      </c>
      <c r="L533" s="388"/>
      <c r="M533" s="389"/>
      <c r="N533" s="409"/>
      <c r="O533" s="409"/>
      <c r="P533" s="391" t="n">
        <f aca="false">IF(ISBLANK(L532),VALUE(P532),ROW(L532))</f>
        <v>10</v>
      </c>
      <c r="Q533" s="314" t="n">
        <f aca="false">Q532+P532-P533</f>
        <v>12</v>
      </c>
      <c r="R533" s="314" t="n">
        <f aca="false">INDEX(G:G,P533,1)</f>
        <v>69000</v>
      </c>
      <c r="S533" s="312"/>
    </row>
    <row r="534" s="379" customFormat="true" ht="14.9" hidden="true" customHeight="false" outlineLevel="0" collapsed="false">
      <c r="A534" s="403" t="n">
        <v>524</v>
      </c>
      <c r="B534" s="414"/>
      <c r="C534" s="413" t="n">
        <f aca="false">DATE(YEAR(C533),MONTH(C533)+1,DAY(C533))</f>
        <v>59810</v>
      </c>
      <c r="D534" s="383" t="n">
        <f aca="false">IF(R534*$D$4/100/12/(1-(1+$D$4/100/12)^(-Q534))&lt;G533,ROUNDUP(R534*$D$4/100/12/(1-(1+$D$4/100/12)^(-Q534)),0),G533+F534)</f>
        <v>0</v>
      </c>
      <c r="E534" s="384" t="n">
        <f aca="false">D534-F534</f>
        <v>0</v>
      </c>
      <c r="F534" s="384" t="n">
        <f aca="false">G533*$D$4*(C534-C533)/(DATE(YEAR(C534)+1,1,1)-DATE(YEAR(C534),1,1))/100</f>
        <v>0</v>
      </c>
      <c r="G534" s="385" t="n">
        <f aca="false">G533-E534-L534-M534</f>
        <v>0</v>
      </c>
      <c r="H534" s="386" t="n">
        <f aca="false">I534+J534</f>
        <v>0</v>
      </c>
      <c r="I534" s="384" t="n">
        <f aca="false">IF($D$3/$D$5&lt;K533,$D$3/$D$5,K533)</f>
        <v>0</v>
      </c>
      <c r="J534" s="384" t="n">
        <f aca="false">K533*$D$4/12/100</f>
        <v>0</v>
      </c>
      <c r="K534" s="387" t="n">
        <f aca="false">K533-I534-L534-M534</f>
        <v>0</v>
      </c>
      <c r="L534" s="388"/>
      <c r="M534" s="389"/>
      <c r="N534" s="409"/>
      <c r="O534" s="409"/>
      <c r="P534" s="391" t="n">
        <f aca="false">IF(ISBLANK(L533),VALUE(P533),ROW(L533))</f>
        <v>10</v>
      </c>
      <c r="Q534" s="314" t="n">
        <f aca="false">Q533+P533-P534</f>
        <v>12</v>
      </c>
      <c r="R534" s="314" t="n">
        <f aca="false">INDEX(G:G,P534,1)</f>
        <v>69000</v>
      </c>
      <c r="S534" s="312"/>
    </row>
    <row r="535" s="379" customFormat="true" ht="14.9" hidden="true" customHeight="false" outlineLevel="0" collapsed="false">
      <c r="A535" s="403" t="n">
        <v>525</v>
      </c>
      <c r="B535" s="414"/>
      <c r="C535" s="413" t="n">
        <f aca="false">DATE(YEAR(C534),MONTH(C534)+1,DAY(C534))</f>
        <v>59841</v>
      </c>
      <c r="D535" s="383" t="n">
        <f aca="false">IF(R535*$D$4/100/12/(1-(1+$D$4/100/12)^(-Q535))&lt;G534,ROUNDUP(R535*$D$4/100/12/(1-(1+$D$4/100/12)^(-Q535)),0),G534+F535)</f>
        <v>0</v>
      </c>
      <c r="E535" s="384" t="n">
        <f aca="false">D535-F535</f>
        <v>0</v>
      </c>
      <c r="F535" s="384" t="n">
        <f aca="false">G534*$D$4*(C535-C534)/(DATE(YEAR(C535)+1,1,1)-DATE(YEAR(C535),1,1))/100</f>
        <v>0</v>
      </c>
      <c r="G535" s="385" t="n">
        <f aca="false">G534-E535-L535-M535</f>
        <v>0</v>
      </c>
      <c r="H535" s="386" t="n">
        <f aca="false">I535+J535</f>
        <v>0</v>
      </c>
      <c r="I535" s="384" t="n">
        <f aca="false">IF($D$3/$D$5&lt;K534,$D$3/$D$5,K534)</f>
        <v>0</v>
      </c>
      <c r="J535" s="384" t="n">
        <f aca="false">K534*$D$4/12/100</f>
        <v>0</v>
      </c>
      <c r="K535" s="387" t="n">
        <f aca="false">K534-I535-L535-M535</f>
        <v>0</v>
      </c>
      <c r="L535" s="388"/>
      <c r="M535" s="389"/>
      <c r="N535" s="409"/>
      <c r="O535" s="409"/>
      <c r="P535" s="391" t="n">
        <f aca="false">IF(ISBLANK(L534),VALUE(P534),ROW(L534))</f>
        <v>10</v>
      </c>
      <c r="Q535" s="314" t="n">
        <f aca="false">Q534+P534-P535</f>
        <v>12</v>
      </c>
      <c r="R535" s="314" t="n">
        <f aca="false">INDEX(G:G,P535,1)</f>
        <v>69000</v>
      </c>
      <c r="S535" s="312"/>
    </row>
    <row r="536" s="379" customFormat="true" ht="14.9" hidden="true" customHeight="false" outlineLevel="0" collapsed="false">
      <c r="A536" s="403" t="n">
        <v>526</v>
      </c>
      <c r="B536" s="414"/>
      <c r="C536" s="413" t="n">
        <f aca="false">DATE(YEAR(C535),MONTH(C535)+1,DAY(C535))</f>
        <v>59871</v>
      </c>
      <c r="D536" s="383" t="n">
        <f aca="false">IF(R536*$D$4/100/12/(1-(1+$D$4/100/12)^(-Q536))&lt;G535,ROUNDUP(R536*$D$4/100/12/(1-(1+$D$4/100/12)^(-Q536)),0),G535+F536)</f>
        <v>0</v>
      </c>
      <c r="E536" s="384" t="n">
        <f aca="false">D536-F536</f>
        <v>0</v>
      </c>
      <c r="F536" s="384" t="n">
        <f aca="false">G535*$D$4*(C536-C535)/(DATE(YEAR(C536)+1,1,1)-DATE(YEAR(C536),1,1))/100</f>
        <v>0</v>
      </c>
      <c r="G536" s="385" t="n">
        <f aca="false">G535-E536-L536-M536</f>
        <v>0</v>
      </c>
      <c r="H536" s="386" t="n">
        <f aca="false">I536+J536</f>
        <v>0</v>
      </c>
      <c r="I536" s="384" t="n">
        <f aca="false">IF($D$3/$D$5&lt;K535,$D$3/$D$5,K535)</f>
        <v>0</v>
      </c>
      <c r="J536" s="384" t="n">
        <f aca="false">K535*$D$4/12/100</f>
        <v>0</v>
      </c>
      <c r="K536" s="387" t="n">
        <f aca="false">K535-I536-L536-M536</f>
        <v>0</v>
      </c>
      <c r="L536" s="388"/>
      <c r="M536" s="389"/>
      <c r="N536" s="409"/>
      <c r="O536" s="409"/>
      <c r="P536" s="391" t="n">
        <f aca="false">IF(ISBLANK(L535),VALUE(P535),ROW(L535))</f>
        <v>10</v>
      </c>
      <c r="Q536" s="314" t="n">
        <f aca="false">Q535+P535-P536</f>
        <v>12</v>
      </c>
      <c r="R536" s="314" t="n">
        <f aca="false">INDEX(G:G,P536,1)</f>
        <v>69000</v>
      </c>
      <c r="S536" s="312"/>
    </row>
    <row r="537" s="379" customFormat="true" ht="14.9" hidden="true" customHeight="false" outlineLevel="0" collapsed="false">
      <c r="A537" s="403" t="n">
        <v>527</v>
      </c>
      <c r="B537" s="414"/>
      <c r="C537" s="413" t="n">
        <f aca="false">DATE(YEAR(C536),MONTH(C536)+1,DAY(C536))</f>
        <v>59902</v>
      </c>
      <c r="D537" s="383" t="n">
        <f aca="false">IF(R537*$D$4/100/12/(1-(1+$D$4/100/12)^(-Q537))&lt;G536,ROUNDUP(R537*$D$4/100/12/(1-(1+$D$4/100/12)^(-Q537)),0),G536+F537)</f>
        <v>0</v>
      </c>
      <c r="E537" s="384" t="n">
        <f aca="false">D537-F537</f>
        <v>0</v>
      </c>
      <c r="F537" s="384" t="n">
        <f aca="false">G536*$D$4*(C537-C536)/(DATE(YEAR(C537)+1,1,1)-DATE(YEAR(C537),1,1))/100</f>
        <v>0</v>
      </c>
      <c r="G537" s="385" t="n">
        <f aca="false">G536-E537-L537-M537</f>
        <v>0</v>
      </c>
      <c r="H537" s="386" t="n">
        <f aca="false">I537+J537</f>
        <v>0</v>
      </c>
      <c r="I537" s="384" t="n">
        <f aca="false">IF($D$3/$D$5&lt;K536,$D$3/$D$5,K536)</f>
        <v>0</v>
      </c>
      <c r="J537" s="384" t="n">
        <f aca="false">K536*$D$4/12/100</f>
        <v>0</v>
      </c>
      <c r="K537" s="387" t="n">
        <f aca="false">K536-I537-L537-M537</f>
        <v>0</v>
      </c>
      <c r="L537" s="388"/>
      <c r="M537" s="389"/>
      <c r="N537" s="409"/>
      <c r="O537" s="409"/>
      <c r="P537" s="391" t="n">
        <f aca="false">IF(ISBLANK(L536),VALUE(P536),ROW(L536))</f>
        <v>10</v>
      </c>
      <c r="Q537" s="314" t="n">
        <f aca="false">Q536+P536-P537</f>
        <v>12</v>
      </c>
      <c r="R537" s="314" t="n">
        <f aca="false">INDEX(G:G,P537,1)</f>
        <v>69000</v>
      </c>
      <c r="S537" s="312"/>
    </row>
    <row r="538" s="379" customFormat="true" ht="14.9" hidden="true" customHeight="false" outlineLevel="0" collapsed="false">
      <c r="A538" s="404" t="n">
        <v>528</v>
      </c>
      <c r="B538" s="414"/>
      <c r="C538" s="413" t="n">
        <f aca="false">DATE(YEAR(C537),MONTH(C537)+1,DAY(C537))</f>
        <v>59933</v>
      </c>
      <c r="D538" s="383" t="n">
        <f aca="false">IF(R538*$D$4/100/12/(1-(1+$D$4/100/12)^(-Q538))&lt;G537,ROUNDUP(R538*$D$4/100/12/(1-(1+$D$4/100/12)^(-Q538)),0),G537+F538)</f>
        <v>0</v>
      </c>
      <c r="E538" s="395" t="n">
        <f aca="false">D538-F538</f>
        <v>0</v>
      </c>
      <c r="F538" s="384" t="n">
        <f aca="false">G537*$D$4*(C538-C537)/(DATE(YEAR(C538)+1,1,1)-DATE(YEAR(C538),1,1))/100</f>
        <v>0</v>
      </c>
      <c r="G538" s="405" t="n">
        <f aca="false">G537-E538-L538-M538</f>
        <v>0</v>
      </c>
      <c r="H538" s="406" t="n">
        <f aca="false">I538+J538</f>
        <v>0</v>
      </c>
      <c r="I538" s="395" t="n">
        <f aca="false">IF($D$3/$D$5&lt;K537,$D$3/$D$5,K537)</f>
        <v>0</v>
      </c>
      <c r="J538" s="395" t="n">
        <f aca="false">K537*$D$4/12/100</f>
        <v>0</v>
      </c>
      <c r="K538" s="407" t="n">
        <f aca="false">K537-I538-L538-M538</f>
        <v>0</v>
      </c>
      <c r="L538" s="408"/>
      <c r="M538" s="410"/>
      <c r="N538" s="409"/>
      <c r="O538" s="409"/>
      <c r="P538" s="391" t="n">
        <f aca="false">IF(ISBLANK(L537),VALUE(P537),ROW(L537))</f>
        <v>10</v>
      </c>
      <c r="Q538" s="314" t="n">
        <f aca="false">Q537+P537-P538</f>
        <v>12</v>
      </c>
      <c r="R538" s="314" t="n">
        <f aca="false">INDEX(G:G,P538,1)</f>
        <v>69000</v>
      </c>
      <c r="S538" s="312"/>
    </row>
    <row r="539" s="379" customFormat="true" ht="14.9" hidden="true" customHeight="false" outlineLevel="0" collapsed="false">
      <c r="A539" s="380" t="n">
        <v>529</v>
      </c>
      <c r="B539" s="412"/>
      <c r="C539" s="413" t="n">
        <f aca="false">DATE(YEAR(C538),MONTH(C538)+1,DAY(C538))</f>
        <v>59962</v>
      </c>
      <c r="D539" s="383" t="n">
        <f aca="false">IF(R539*$D$4/100/12/(1-(1+$D$4/100/12)^(-Q539))&lt;G538,ROUNDUP(R539*$D$4/100/12/(1-(1+$D$4/100/12)^(-Q539)),0),G538+F539)</f>
        <v>0</v>
      </c>
      <c r="E539" s="384" t="n">
        <f aca="false">D539-F539</f>
        <v>0</v>
      </c>
      <c r="F539" s="384" t="n">
        <f aca="false">G538*$D$4*(C539-C538)/(DATE(YEAR(C539)+1,1,1)-DATE(YEAR(C539),1,1))/100</f>
        <v>0</v>
      </c>
      <c r="G539" s="385" t="n">
        <f aca="false">G538-E539-L539-M539</f>
        <v>0</v>
      </c>
      <c r="H539" s="386" t="n">
        <f aca="false">I539+J539</f>
        <v>0</v>
      </c>
      <c r="I539" s="384" t="n">
        <f aca="false">IF($D$3/$D$5&lt;K538,$D$3/$D$5,K538)</f>
        <v>0</v>
      </c>
      <c r="J539" s="384" t="n">
        <f aca="false">K538*$D$4/12/100</f>
        <v>0</v>
      </c>
      <c r="K539" s="387" t="n">
        <f aca="false">K538-I539-L539-M539</f>
        <v>0</v>
      </c>
      <c r="L539" s="388"/>
      <c r="M539" s="389"/>
      <c r="N539" s="409"/>
      <c r="O539" s="409"/>
      <c r="P539" s="391" t="n">
        <f aca="false">IF(ISBLANK(L538),VALUE(P538),ROW(L538))</f>
        <v>10</v>
      </c>
      <c r="Q539" s="314" t="n">
        <f aca="false">Q538+P538-P539</f>
        <v>12</v>
      </c>
      <c r="R539" s="314" t="n">
        <f aca="false">INDEX(G:G,P539,1)</f>
        <v>69000</v>
      </c>
      <c r="S539" s="312"/>
    </row>
    <row r="540" s="379" customFormat="true" ht="14.9" hidden="true" customHeight="false" outlineLevel="0" collapsed="false">
      <c r="A540" s="380" t="n">
        <v>530</v>
      </c>
      <c r="B540" s="412"/>
      <c r="C540" s="413" t="n">
        <f aca="false">DATE(YEAR(C539),MONTH(C539)+1,DAY(C539))</f>
        <v>59993</v>
      </c>
      <c r="D540" s="383" t="n">
        <f aca="false">IF(R540*$D$4/100/12/(1-(1+$D$4/100/12)^(-Q540))&lt;G539,ROUNDUP(R540*$D$4/100/12/(1-(1+$D$4/100/12)^(-Q540)),0),G539+F540)</f>
        <v>0</v>
      </c>
      <c r="E540" s="384" t="n">
        <f aca="false">D540-F540</f>
        <v>0</v>
      </c>
      <c r="F540" s="384" t="n">
        <f aca="false">G539*$D$4*(C540-C539)/(DATE(YEAR(C540)+1,1,1)-DATE(YEAR(C540),1,1))/100</f>
        <v>0</v>
      </c>
      <c r="G540" s="385" t="n">
        <f aca="false">G539-E540-L540-M540</f>
        <v>0</v>
      </c>
      <c r="H540" s="386" t="n">
        <f aca="false">I540+J540</f>
        <v>0</v>
      </c>
      <c r="I540" s="384" t="n">
        <f aca="false">IF($D$3/$D$5&lt;K539,$D$3/$D$5,K539)</f>
        <v>0</v>
      </c>
      <c r="J540" s="384" t="n">
        <f aca="false">K539*$D$4/12/100</f>
        <v>0</v>
      </c>
      <c r="K540" s="387" t="n">
        <f aca="false">K539-I540-L540-M540</f>
        <v>0</v>
      </c>
      <c r="L540" s="388"/>
      <c r="M540" s="389"/>
      <c r="N540" s="409"/>
      <c r="O540" s="409"/>
      <c r="P540" s="391" t="n">
        <f aca="false">IF(ISBLANK(L539),VALUE(P539),ROW(L539))</f>
        <v>10</v>
      </c>
      <c r="Q540" s="314" t="n">
        <f aca="false">Q539+P539-P540</f>
        <v>12</v>
      </c>
      <c r="R540" s="314" t="n">
        <f aca="false">INDEX(G:G,P540,1)</f>
        <v>69000</v>
      </c>
      <c r="S540" s="312"/>
    </row>
    <row r="541" s="379" customFormat="true" ht="14.9" hidden="true" customHeight="false" outlineLevel="0" collapsed="false">
      <c r="A541" s="380" t="n">
        <v>531</v>
      </c>
      <c r="B541" s="412"/>
      <c r="C541" s="413" t="n">
        <f aca="false">DATE(YEAR(C540),MONTH(C540)+1,DAY(C540))</f>
        <v>60023</v>
      </c>
      <c r="D541" s="383" t="n">
        <f aca="false">IF(R541*$D$4/100/12/(1-(1+$D$4/100/12)^(-Q541))&lt;G540,ROUNDUP(R541*$D$4/100/12/(1-(1+$D$4/100/12)^(-Q541)),0),G540+F541)</f>
        <v>0</v>
      </c>
      <c r="E541" s="384" t="n">
        <f aca="false">D541-F541</f>
        <v>0</v>
      </c>
      <c r="F541" s="384" t="n">
        <f aca="false">G540*$D$4*(C541-C540)/(DATE(YEAR(C541)+1,1,1)-DATE(YEAR(C541),1,1))/100</f>
        <v>0</v>
      </c>
      <c r="G541" s="385" t="n">
        <f aca="false">G540-E541-L541-M541</f>
        <v>0</v>
      </c>
      <c r="H541" s="386" t="n">
        <f aca="false">I541+J541</f>
        <v>0</v>
      </c>
      <c r="I541" s="384" t="n">
        <f aca="false">IF($D$3/$D$5&lt;K540,$D$3/$D$5,K540)</f>
        <v>0</v>
      </c>
      <c r="J541" s="384" t="n">
        <f aca="false">K540*$D$4/12/100</f>
        <v>0</v>
      </c>
      <c r="K541" s="387" t="n">
        <f aca="false">K540-I541-L541-M541</f>
        <v>0</v>
      </c>
      <c r="L541" s="388"/>
      <c r="M541" s="389"/>
      <c r="N541" s="409"/>
      <c r="O541" s="409"/>
      <c r="P541" s="391" t="n">
        <f aca="false">IF(ISBLANK(L540),VALUE(P540),ROW(L540))</f>
        <v>10</v>
      </c>
      <c r="Q541" s="314" t="n">
        <f aca="false">Q540+P540-P541</f>
        <v>12</v>
      </c>
      <c r="R541" s="314" t="n">
        <f aca="false">INDEX(G:G,P541,1)</f>
        <v>69000</v>
      </c>
      <c r="S541" s="312"/>
    </row>
    <row r="542" s="379" customFormat="true" ht="14.9" hidden="true" customHeight="false" outlineLevel="0" collapsed="false">
      <c r="A542" s="380" t="n">
        <v>532</v>
      </c>
      <c r="B542" s="412"/>
      <c r="C542" s="413" t="n">
        <f aca="false">DATE(YEAR(C541),MONTH(C541)+1,DAY(C541))</f>
        <v>60054</v>
      </c>
      <c r="D542" s="383" t="n">
        <f aca="false">IF(R542*$D$4/100/12/(1-(1+$D$4/100/12)^(-Q542))&lt;G541,ROUNDUP(R542*$D$4/100/12/(1-(1+$D$4/100/12)^(-Q542)),0),G541+F542)</f>
        <v>0</v>
      </c>
      <c r="E542" s="384" t="n">
        <f aca="false">D542-F542</f>
        <v>0</v>
      </c>
      <c r="F542" s="384" t="n">
        <f aca="false">G541*$D$4*(C542-C541)/(DATE(YEAR(C542)+1,1,1)-DATE(YEAR(C542),1,1))/100</f>
        <v>0</v>
      </c>
      <c r="G542" s="385" t="n">
        <f aca="false">G541-E542-L542-M542</f>
        <v>0</v>
      </c>
      <c r="H542" s="386" t="n">
        <f aca="false">I542+J542</f>
        <v>0</v>
      </c>
      <c r="I542" s="384" t="n">
        <f aca="false">IF($D$3/$D$5&lt;K541,$D$3/$D$5,K541)</f>
        <v>0</v>
      </c>
      <c r="J542" s="384" t="n">
        <f aca="false">K541*$D$4/12/100</f>
        <v>0</v>
      </c>
      <c r="K542" s="387" t="n">
        <f aca="false">K541-I542-L542-M542</f>
        <v>0</v>
      </c>
      <c r="L542" s="388"/>
      <c r="M542" s="389"/>
      <c r="N542" s="409"/>
      <c r="O542" s="409"/>
      <c r="P542" s="391" t="n">
        <f aca="false">IF(ISBLANK(L541),VALUE(P541),ROW(L541))</f>
        <v>10</v>
      </c>
      <c r="Q542" s="314" t="n">
        <f aca="false">Q541+P541-P542</f>
        <v>12</v>
      </c>
      <c r="R542" s="314" t="n">
        <f aca="false">INDEX(G:G,P542,1)</f>
        <v>69000</v>
      </c>
      <c r="S542" s="312"/>
    </row>
    <row r="543" s="379" customFormat="true" ht="14.9" hidden="true" customHeight="false" outlineLevel="0" collapsed="false">
      <c r="A543" s="380" t="n">
        <v>533</v>
      </c>
      <c r="B543" s="412"/>
      <c r="C543" s="413" t="n">
        <f aca="false">DATE(YEAR(C542),MONTH(C542)+1,DAY(C542))</f>
        <v>60084</v>
      </c>
      <c r="D543" s="383" t="n">
        <f aca="false">IF(R543*$D$4/100/12/(1-(1+$D$4/100/12)^(-Q543))&lt;G542,ROUNDUP(R543*$D$4/100/12/(1-(1+$D$4/100/12)^(-Q543)),0),G542+F543)</f>
        <v>0</v>
      </c>
      <c r="E543" s="384" t="n">
        <f aca="false">D543-F543</f>
        <v>0</v>
      </c>
      <c r="F543" s="384" t="n">
        <f aca="false">G542*$D$4*(C543-C542)/(DATE(YEAR(C543)+1,1,1)-DATE(YEAR(C543),1,1))/100</f>
        <v>0</v>
      </c>
      <c r="G543" s="385" t="n">
        <f aca="false">G542-E543-L543-M543</f>
        <v>0</v>
      </c>
      <c r="H543" s="386" t="n">
        <f aca="false">I543+J543</f>
        <v>0</v>
      </c>
      <c r="I543" s="384" t="n">
        <f aca="false">IF($D$3/$D$5&lt;K542,$D$3/$D$5,K542)</f>
        <v>0</v>
      </c>
      <c r="J543" s="384" t="n">
        <f aca="false">K542*$D$4/12/100</f>
        <v>0</v>
      </c>
      <c r="K543" s="387" t="n">
        <f aca="false">K542-I543-L543-M543</f>
        <v>0</v>
      </c>
      <c r="L543" s="388"/>
      <c r="M543" s="389"/>
      <c r="N543" s="409"/>
      <c r="O543" s="409"/>
      <c r="P543" s="391" t="n">
        <f aca="false">IF(ISBLANK(L542),VALUE(P542),ROW(L542))</f>
        <v>10</v>
      </c>
      <c r="Q543" s="314" t="n">
        <f aca="false">Q542+P542-P543</f>
        <v>12</v>
      </c>
      <c r="R543" s="314" t="n">
        <f aca="false">INDEX(G:G,P543,1)</f>
        <v>69000</v>
      </c>
      <c r="S543" s="312"/>
    </row>
    <row r="544" s="379" customFormat="true" ht="14.9" hidden="true" customHeight="false" outlineLevel="0" collapsed="false">
      <c r="A544" s="380" t="n">
        <v>534</v>
      </c>
      <c r="B544" s="412"/>
      <c r="C544" s="413" t="n">
        <f aca="false">DATE(YEAR(C543),MONTH(C543)+1,DAY(C543))</f>
        <v>60115</v>
      </c>
      <c r="D544" s="383" t="n">
        <f aca="false">IF(R544*$D$4/100/12/(1-(1+$D$4/100/12)^(-Q544))&lt;G543,ROUNDUP(R544*$D$4/100/12/(1-(1+$D$4/100/12)^(-Q544)),0),G543+F544)</f>
        <v>0</v>
      </c>
      <c r="E544" s="384" t="n">
        <f aca="false">D544-F544</f>
        <v>0</v>
      </c>
      <c r="F544" s="384" t="n">
        <f aca="false">G543*$D$4*(C544-C543)/(DATE(YEAR(C544)+1,1,1)-DATE(YEAR(C544),1,1))/100</f>
        <v>0</v>
      </c>
      <c r="G544" s="385" t="n">
        <f aca="false">G543-E544-L544-M544</f>
        <v>0</v>
      </c>
      <c r="H544" s="386" t="n">
        <f aca="false">I544+J544</f>
        <v>0</v>
      </c>
      <c r="I544" s="384" t="n">
        <f aca="false">IF($D$3/$D$5&lt;K543,$D$3/$D$5,K543)</f>
        <v>0</v>
      </c>
      <c r="J544" s="384" t="n">
        <f aca="false">K543*$D$4/12/100</f>
        <v>0</v>
      </c>
      <c r="K544" s="387" t="n">
        <f aca="false">K543-I544-L544-M544</f>
        <v>0</v>
      </c>
      <c r="L544" s="388"/>
      <c r="M544" s="389"/>
      <c r="N544" s="409"/>
      <c r="O544" s="409"/>
      <c r="P544" s="391" t="n">
        <f aca="false">IF(ISBLANK(L543),VALUE(P543),ROW(L543))</f>
        <v>10</v>
      </c>
      <c r="Q544" s="314" t="n">
        <f aca="false">Q543+P543-P544</f>
        <v>12</v>
      </c>
      <c r="R544" s="314" t="n">
        <f aca="false">INDEX(G:G,P544,1)</f>
        <v>69000</v>
      </c>
      <c r="S544" s="312"/>
    </row>
    <row r="545" s="379" customFormat="true" ht="14.9" hidden="true" customHeight="false" outlineLevel="0" collapsed="false">
      <c r="A545" s="380" t="n">
        <v>535</v>
      </c>
      <c r="B545" s="412"/>
      <c r="C545" s="413" t="n">
        <f aca="false">DATE(YEAR(C544),MONTH(C544)+1,DAY(C544))</f>
        <v>60146</v>
      </c>
      <c r="D545" s="383" t="n">
        <f aca="false">IF(R545*$D$4/100/12/(1-(1+$D$4/100/12)^(-Q545))&lt;G544,ROUNDUP(R545*$D$4/100/12/(1-(1+$D$4/100/12)^(-Q545)),0),G544+F545)</f>
        <v>0</v>
      </c>
      <c r="E545" s="384" t="n">
        <f aca="false">D545-F545</f>
        <v>0</v>
      </c>
      <c r="F545" s="384" t="n">
        <f aca="false">G544*$D$4*(C545-C544)/(DATE(YEAR(C545)+1,1,1)-DATE(YEAR(C545),1,1))/100</f>
        <v>0</v>
      </c>
      <c r="G545" s="385" t="n">
        <f aca="false">G544-E545-L545-M545</f>
        <v>0</v>
      </c>
      <c r="H545" s="386" t="n">
        <f aca="false">I545+J545</f>
        <v>0</v>
      </c>
      <c r="I545" s="384" t="n">
        <f aca="false">IF($D$3/$D$5&lt;K544,$D$3/$D$5,K544)</f>
        <v>0</v>
      </c>
      <c r="J545" s="384" t="n">
        <f aca="false">K544*$D$4/12/100</f>
        <v>0</v>
      </c>
      <c r="K545" s="387" t="n">
        <f aca="false">K544-I545-L545-M545</f>
        <v>0</v>
      </c>
      <c r="L545" s="388"/>
      <c r="M545" s="389"/>
      <c r="N545" s="409"/>
      <c r="O545" s="409"/>
      <c r="P545" s="391" t="n">
        <f aca="false">IF(ISBLANK(L544),VALUE(P544),ROW(L544))</f>
        <v>10</v>
      </c>
      <c r="Q545" s="314" t="n">
        <f aca="false">Q544+P544-P545</f>
        <v>12</v>
      </c>
      <c r="R545" s="314" t="n">
        <f aca="false">INDEX(G:G,P545,1)</f>
        <v>69000</v>
      </c>
      <c r="S545" s="312"/>
    </row>
    <row r="546" s="379" customFormat="true" ht="14.9" hidden="true" customHeight="false" outlineLevel="0" collapsed="false">
      <c r="A546" s="380" t="n">
        <v>536</v>
      </c>
      <c r="B546" s="412"/>
      <c r="C546" s="413" t="n">
        <f aca="false">DATE(YEAR(C545),MONTH(C545)+1,DAY(C545))</f>
        <v>60176</v>
      </c>
      <c r="D546" s="383" t="n">
        <f aca="false">IF(R546*$D$4/100/12/(1-(1+$D$4/100/12)^(-Q546))&lt;G545,ROUNDUP(R546*$D$4/100/12/(1-(1+$D$4/100/12)^(-Q546)),0),G545+F546)</f>
        <v>0</v>
      </c>
      <c r="E546" s="384" t="n">
        <f aca="false">D546-F546</f>
        <v>0</v>
      </c>
      <c r="F546" s="384" t="n">
        <f aca="false">G545*$D$4*(C546-C545)/(DATE(YEAR(C546)+1,1,1)-DATE(YEAR(C546),1,1))/100</f>
        <v>0</v>
      </c>
      <c r="G546" s="385" t="n">
        <f aca="false">G545-E546-L546-M546</f>
        <v>0</v>
      </c>
      <c r="H546" s="386" t="n">
        <f aca="false">I546+J546</f>
        <v>0</v>
      </c>
      <c r="I546" s="384" t="n">
        <f aca="false">IF($D$3/$D$5&lt;K545,$D$3/$D$5,K545)</f>
        <v>0</v>
      </c>
      <c r="J546" s="384" t="n">
        <f aca="false">K545*$D$4/12/100</f>
        <v>0</v>
      </c>
      <c r="K546" s="387" t="n">
        <f aca="false">K545-I546-L546-M546</f>
        <v>0</v>
      </c>
      <c r="L546" s="388"/>
      <c r="M546" s="389"/>
      <c r="N546" s="409"/>
      <c r="O546" s="409"/>
      <c r="P546" s="391" t="n">
        <f aca="false">IF(ISBLANK(L545),VALUE(P545),ROW(L545))</f>
        <v>10</v>
      </c>
      <c r="Q546" s="314" t="n">
        <f aca="false">Q545+P545-P546</f>
        <v>12</v>
      </c>
      <c r="R546" s="314" t="n">
        <f aca="false">INDEX(G:G,P546,1)</f>
        <v>69000</v>
      </c>
      <c r="S546" s="312"/>
    </row>
    <row r="547" s="379" customFormat="true" ht="14.9" hidden="true" customHeight="false" outlineLevel="0" collapsed="false">
      <c r="A547" s="380" t="n">
        <v>537</v>
      </c>
      <c r="B547" s="412"/>
      <c r="C547" s="413" t="n">
        <f aca="false">DATE(YEAR(C546),MONTH(C546)+1,DAY(C546))</f>
        <v>60207</v>
      </c>
      <c r="D547" s="383" t="n">
        <f aca="false">IF(R547*$D$4/100/12/(1-(1+$D$4/100/12)^(-Q547))&lt;G546,ROUNDUP(R547*$D$4/100/12/(1-(1+$D$4/100/12)^(-Q547)),0),G546+F547)</f>
        <v>0</v>
      </c>
      <c r="E547" s="384" t="n">
        <f aca="false">D547-F547</f>
        <v>0</v>
      </c>
      <c r="F547" s="384" t="n">
        <f aca="false">G546*$D$4*(C547-C546)/(DATE(YEAR(C547)+1,1,1)-DATE(YEAR(C547),1,1))/100</f>
        <v>0</v>
      </c>
      <c r="G547" s="385" t="n">
        <f aca="false">G546-E547-L547-M547</f>
        <v>0</v>
      </c>
      <c r="H547" s="386" t="n">
        <f aca="false">I547+J547</f>
        <v>0</v>
      </c>
      <c r="I547" s="384" t="n">
        <f aca="false">IF($D$3/$D$5&lt;K546,$D$3/$D$5,K546)</f>
        <v>0</v>
      </c>
      <c r="J547" s="384" t="n">
        <f aca="false">K546*$D$4/12/100</f>
        <v>0</v>
      </c>
      <c r="K547" s="387" t="n">
        <f aca="false">K546-I547-L547-M547</f>
        <v>0</v>
      </c>
      <c r="L547" s="388"/>
      <c r="M547" s="389"/>
      <c r="N547" s="409"/>
      <c r="O547" s="409"/>
      <c r="P547" s="391" t="n">
        <f aca="false">IF(ISBLANK(L546),VALUE(P546),ROW(L546))</f>
        <v>10</v>
      </c>
      <c r="Q547" s="314" t="n">
        <f aca="false">Q546+P546-P547</f>
        <v>12</v>
      </c>
      <c r="R547" s="314" t="n">
        <f aca="false">INDEX(G:G,P547,1)</f>
        <v>69000</v>
      </c>
      <c r="S547" s="312"/>
    </row>
    <row r="548" s="379" customFormat="true" ht="14.9" hidden="true" customHeight="false" outlineLevel="0" collapsed="false">
      <c r="A548" s="380" t="n">
        <v>538</v>
      </c>
      <c r="B548" s="412"/>
      <c r="C548" s="413" t="n">
        <f aca="false">DATE(YEAR(C547),MONTH(C547)+1,DAY(C547))</f>
        <v>60237</v>
      </c>
      <c r="D548" s="383" t="n">
        <f aca="false">IF(R548*$D$4/100/12/(1-(1+$D$4/100/12)^(-Q548))&lt;G547,ROUNDUP(R548*$D$4/100/12/(1-(1+$D$4/100/12)^(-Q548)),0),G547+F548)</f>
        <v>0</v>
      </c>
      <c r="E548" s="384" t="n">
        <f aca="false">D548-F548</f>
        <v>0</v>
      </c>
      <c r="F548" s="384" t="n">
        <f aca="false">G547*$D$4*(C548-C547)/(DATE(YEAR(C548)+1,1,1)-DATE(YEAR(C548),1,1))/100</f>
        <v>0</v>
      </c>
      <c r="G548" s="385" t="n">
        <f aca="false">G547-E548-L548-M548</f>
        <v>0</v>
      </c>
      <c r="H548" s="386" t="n">
        <f aca="false">I548+J548</f>
        <v>0</v>
      </c>
      <c r="I548" s="384" t="n">
        <f aca="false">IF($D$3/$D$5&lt;K547,$D$3/$D$5,K547)</f>
        <v>0</v>
      </c>
      <c r="J548" s="384" t="n">
        <f aca="false">K547*$D$4/12/100</f>
        <v>0</v>
      </c>
      <c r="K548" s="387" t="n">
        <f aca="false">K547-I548-L548-M548</f>
        <v>0</v>
      </c>
      <c r="L548" s="388"/>
      <c r="M548" s="389"/>
      <c r="N548" s="409"/>
      <c r="O548" s="409"/>
      <c r="P548" s="391" t="n">
        <f aca="false">IF(ISBLANK(L547),VALUE(P547),ROW(L547))</f>
        <v>10</v>
      </c>
      <c r="Q548" s="314" t="n">
        <f aca="false">Q547+P547-P548</f>
        <v>12</v>
      </c>
      <c r="R548" s="314" t="n">
        <f aca="false">INDEX(G:G,P548,1)</f>
        <v>69000</v>
      </c>
      <c r="S548" s="312"/>
    </row>
    <row r="549" s="379" customFormat="true" ht="14.9" hidden="true" customHeight="false" outlineLevel="0" collapsed="false">
      <c r="A549" s="380" t="n">
        <v>539</v>
      </c>
      <c r="B549" s="412"/>
      <c r="C549" s="413" t="n">
        <f aca="false">DATE(YEAR(C548),MONTH(C548)+1,DAY(C548))</f>
        <v>60268</v>
      </c>
      <c r="D549" s="383" t="n">
        <f aca="false">IF(R549*$D$4/100/12/(1-(1+$D$4/100/12)^(-Q549))&lt;G548,ROUNDUP(R549*$D$4/100/12/(1-(1+$D$4/100/12)^(-Q549)),0),G548+F549)</f>
        <v>0</v>
      </c>
      <c r="E549" s="384" t="n">
        <f aca="false">D549-F549</f>
        <v>0</v>
      </c>
      <c r="F549" s="384" t="n">
        <f aca="false">G548*$D$4*(C549-C548)/(DATE(YEAR(C549)+1,1,1)-DATE(YEAR(C549),1,1))/100</f>
        <v>0</v>
      </c>
      <c r="G549" s="385" t="n">
        <f aca="false">G548-E549-L549-M549</f>
        <v>0</v>
      </c>
      <c r="H549" s="386" t="n">
        <f aca="false">I549+J549</f>
        <v>0</v>
      </c>
      <c r="I549" s="384" t="n">
        <f aca="false">IF($D$3/$D$5&lt;K548,$D$3/$D$5,K548)</f>
        <v>0</v>
      </c>
      <c r="J549" s="384" t="n">
        <f aca="false">K548*$D$4/12/100</f>
        <v>0</v>
      </c>
      <c r="K549" s="387" t="n">
        <f aca="false">K548-I549-L549-M549</f>
        <v>0</v>
      </c>
      <c r="L549" s="388"/>
      <c r="M549" s="389"/>
      <c r="N549" s="409"/>
      <c r="O549" s="409"/>
      <c r="P549" s="391" t="n">
        <f aca="false">IF(ISBLANK(L548),VALUE(P548),ROW(L548))</f>
        <v>10</v>
      </c>
      <c r="Q549" s="314" t="n">
        <f aca="false">Q548+P548-P549</f>
        <v>12</v>
      </c>
      <c r="R549" s="314" t="n">
        <f aca="false">INDEX(G:G,P549,1)</f>
        <v>69000</v>
      </c>
      <c r="S549" s="312"/>
    </row>
    <row r="550" s="379" customFormat="true" ht="14.9" hidden="true" customHeight="false" outlineLevel="0" collapsed="false">
      <c r="A550" s="380" t="n">
        <v>540</v>
      </c>
      <c r="B550" s="412"/>
      <c r="C550" s="413" t="n">
        <f aca="false">DATE(YEAR(C549),MONTH(C549)+1,DAY(C549))</f>
        <v>60299</v>
      </c>
      <c r="D550" s="383" t="n">
        <f aca="false">IF(R550*$D$4/100/12/(1-(1+$D$4/100/12)^(-Q550))&lt;G549,ROUNDUP(R550*$D$4/100/12/(1-(1+$D$4/100/12)^(-Q550)),0),G549+F550)</f>
        <v>0</v>
      </c>
      <c r="E550" s="384" t="n">
        <f aca="false">D550-F550</f>
        <v>0</v>
      </c>
      <c r="F550" s="384" t="n">
        <f aca="false">G549*$D$4*(C550-C549)/(DATE(YEAR(C550)+1,1,1)-DATE(YEAR(C550),1,1))/100</f>
        <v>0</v>
      </c>
      <c r="G550" s="385" t="n">
        <f aca="false">G549-E550-L550-M550</f>
        <v>0</v>
      </c>
      <c r="H550" s="386" t="n">
        <f aca="false">I550+J550</f>
        <v>0</v>
      </c>
      <c r="I550" s="384" t="n">
        <f aca="false">IF($D$3/$D$5&lt;K549,$D$3/$D$5,K549)</f>
        <v>0</v>
      </c>
      <c r="J550" s="384" t="n">
        <f aca="false">K549*$D$4/12/100</f>
        <v>0</v>
      </c>
      <c r="K550" s="387" t="n">
        <f aca="false">K549-I550-L550-M550</f>
        <v>0</v>
      </c>
      <c r="L550" s="388"/>
      <c r="M550" s="389"/>
      <c r="N550" s="409"/>
      <c r="O550" s="409"/>
      <c r="P550" s="391" t="n">
        <f aca="false">IF(ISBLANK(L549),VALUE(P549),ROW(L549))</f>
        <v>10</v>
      </c>
      <c r="Q550" s="314" t="n">
        <f aca="false">Q549+P549-P550</f>
        <v>12</v>
      </c>
      <c r="R550" s="314" t="n">
        <f aca="false">INDEX(G:G,P550,1)</f>
        <v>69000</v>
      </c>
      <c r="S550" s="312"/>
    </row>
    <row r="551" s="379" customFormat="true" ht="14.9" hidden="true" customHeight="false" outlineLevel="0" collapsed="false">
      <c r="A551" s="396" t="n">
        <v>541</v>
      </c>
      <c r="B551" s="414"/>
      <c r="C551" s="413" t="n">
        <f aca="false">DATE(YEAR(C550),MONTH(C550)+1,DAY(C550))</f>
        <v>60327</v>
      </c>
      <c r="D551" s="383" t="n">
        <f aca="false">IF(R551*$D$4/100/12/(1-(1+$D$4/100/12)^(-Q551))&lt;G550,ROUNDUP(R551*$D$4/100/12/(1-(1+$D$4/100/12)^(-Q551)),0),G550+F551)</f>
        <v>0</v>
      </c>
      <c r="E551" s="399" t="n">
        <f aca="false">D551-F551</f>
        <v>0</v>
      </c>
      <c r="F551" s="384" t="n">
        <f aca="false">G550*$D$4*(C551-C550)/(DATE(YEAR(C551)+1,1,1)-DATE(YEAR(C551),1,1))/100</f>
        <v>0</v>
      </c>
      <c r="G551" s="397" t="n">
        <f aca="false">G550-E551-L551-M551</f>
        <v>0</v>
      </c>
      <c r="H551" s="398" t="n">
        <f aca="false">I551+J551</f>
        <v>0</v>
      </c>
      <c r="I551" s="399" t="n">
        <f aca="false">IF($D$3/$D$5&lt;K550,$D$3/$D$5,K550)</f>
        <v>0</v>
      </c>
      <c r="J551" s="399" t="n">
        <f aca="false">K550*$D$4/12/100</f>
        <v>0</v>
      </c>
      <c r="K551" s="400" t="n">
        <f aca="false">K550-I551-L551-M551</f>
        <v>0</v>
      </c>
      <c r="L551" s="401"/>
      <c r="M551" s="402"/>
      <c r="N551" s="409"/>
      <c r="O551" s="409"/>
      <c r="P551" s="391" t="n">
        <f aca="false">IF(ISBLANK(L550),VALUE(P550),ROW(L550))</f>
        <v>10</v>
      </c>
      <c r="Q551" s="314" t="n">
        <f aca="false">Q550+P550-P551</f>
        <v>12</v>
      </c>
      <c r="R551" s="314" t="n">
        <f aca="false">INDEX(G:G,P551,1)</f>
        <v>69000</v>
      </c>
      <c r="S551" s="312"/>
    </row>
    <row r="552" s="379" customFormat="true" ht="14.9" hidden="true" customHeight="false" outlineLevel="0" collapsed="false">
      <c r="A552" s="403" t="n">
        <v>542</v>
      </c>
      <c r="B552" s="414"/>
      <c r="C552" s="413" t="n">
        <f aca="false">DATE(YEAR(C551),MONTH(C551)+1,DAY(C551))</f>
        <v>60358</v>
      </c>
      <c r="D552" s="383" t="n">
        <f aca="false">IF(R552*$D$4/100/12/(1-(1+$D$4/100/12)^(-Q552))&lt;G551,ROUNDUP(R552*$D$4/100/12/(1-(1+$D$4/100/12)^(-Q552)),0),G551+F552)</f>
        <v>0</v>
      </c>
      <c r="E552" s="384" t="n">
        <f aca="false">D552-F552</f>
        <v>0</v>
      </c>
      <c r="F552" s="384" t="n">
        <f aca="false">G551*$D$4*(C552-C551)/(DATE(YEAR(C552)+1,1,1)-DATE(YEAR(C552),1,1))/100</f>
        <v>0</v>
      </c>
      <c r="G552" s="385" t="n">
        <f aca="false">G551-E552-L552-M552</f>
        <v>0</v>
      </c>
      <c r="H552" s="386" t="n">
        <f aca="false">I552+J552</f>
        <v>0</v>
      </c>
      <c r="I552" s="384" t="n">
        <f aca="false">IF($D$3/$D$5&lt;K551,$D$3/$D$5,K551)</f>
        <v>0</v>
      </c>
      <c r="J552" s="384" t="n">
        <f aca="false">K551*$D$4/12/100</f>
        <v>0</v>
      </c>
      <c r="K552" s="387" t="n">
        <f aca="false">K551-I552-L552-M552</f>
        <v>0</v>
      </c>
      <c r="L552" s="388"/>
      <c r="M552" s="389"/>
      <c r="N552" s="409"/>
      <c r="O552" s="409"/>
      <c r="P552" s="391" t="n">
        <f aca="false">IF(ISBLANK(L551),VALUE(P551),ROW(L551))</f>
        <v>10</v>
      </c>
      <c r="Q552" s="314" t="n">
        <f aca="false">Q551+P551-P552</f>
        <v>12</v>
      </c>
      <c r="R552" s="314" t="n">
        <f aca="false">INDEX(G:G,P552,1)</f>
        <v>69000</v>
      </c>
      <c r="S552" s="312"/>
    </row>
    <row r="553" s="379" customFormat="true" ht="14.9" hidden="true" customHeight="false" outlineLevel="0" collapsed="false">
      <c r="A553" s="403" t="n">
        <v>543</v>
      </c>
      <c r="B553" s="414"/>
      <c r="C553" s="413" t="n">
        <f aca="false">DATE(YEAR(C552),MONTH(C552)+1,DAY(C552))</f>
        <v>60388</v>
      </c>
      <c r="D553" s="383" t="n">
        <f aca="false">IF(R553*$D$4/100/12/(1-(1+$D$4/100/12)^(-Q553))&lt;G552,ROUNDUP(R553*$D$4/100/12/(1-(1+$D$4/100/12)^(-Q553)),0),G552+F553)</f>
        <v>0</v>
      </c>
      <c r="E553" s="384" t="n">
        <f aca="false">D553-F553</f>
        <v>0</v>
      </c>
      <c r="F553" s="384" t="n">
        <f aca="false">G552*$D$4*(C553-C552)/(DATE(YEAR(C553)+1,1,1)-DATE(YEAR(C553),1,1))/100</f>
        <v>0</v>
      </c>
      <c r="G553" s="385" t="n">
        <f aca="false">G552-E553-L553-M553</f>
        <v>0</v>
      </c>
      <c r="H553" s="386" t="n">
        <f aca="false">I553+J553</f>
        <v>0</v>
      </c>
      <c r="I553" s="384" t="n">
        <f aca="false">IF($D$3/$D$5&lt;K552,$D$3/$D$5,K552)</f>
        <v>0</v>
      </c>
      <c r="J553" s="384" t="n">
        <f aca="false">K552*$D$4/12/100</f>
        <v>0</v>
      </c>
      <c r="K553" s="387" t="n">
        <f aca="false">K552-I553-L553-M553</f>
        <v>0</v>
      </c>
      <c r="L553" s="388"/>
      <c r="M553" s="389"/>
      <c r="N553" s="409"/>
      <c r="O553" s="409"/>
      <c r="P553" s="391" t="n">
        <f aca="false">IF(ISBLANK(L552),VALUE(P552),ROW(L552))</f>
        <v>10</v>
      </c>
      <c r="Q553" s="314" t="n">
        <f aca="false">Q552+P552-P553</f>
        <v>12</v>
      </c>
      <c r="R553" s="314" t="n">
        <f aca="false">INDEX(G:G,P553,1)</f>
        <v>69000</v>
      </c>
      <c r="S553" s="312"/>
    </row>
    <row r="554" s="379" customFormat="true" ht="14.9" hidden="true" customHeight="false" outlineLevel="0" collapsed="false">
      <c r="A554" s="403" t="n">
        <v>544</v>
      </c>
      <c r="B554" s="414"/>
      <c r="C554" s="413" t="n">
        <f aca="false">DATE(YEAR(C553),MONTH(C553)+1,DAY(C553))</f>
        <v>60419</v>
      </c>
      <c r="D554" s="383" t="n">
        <f aca="false">IF(R554*$D$4/100/12/(1-(1+$D$4/100/12)^(-Q554))&lt;G553,ROUNDUP(R554*$D$4/100/12/(1-(1+$D$4/100/12)^(-Q554)),0),G553+F554)</f>
        <v>0</v>
      </c>
      <c r="E554" s="384" t="n">
        <f aca="false">D554-F554</f>
        <v>0</v>
      </c>
      <c r="F554" s="384" t="n">
        <f aca="false">G553*$D$4*(C554-C553)/(DATE(YEAR(C554)+1,1,1)-DATE(YEAR(C554),1,1))/100</f>
        <v>0</v>
      </c>
      <c r="G554" s="385" t="n">
        <f aca="false">G553-E554-L554-M554</f>
        <v>0</v>
      </c>
      <c r="H554" s="386" t="n">
        <f aca="false">I554+J554</f>
        <v>0</v>
      </c>
      <c r="I554" s="384" t="n">
        <f aca="false">IF($D$3/$D$5&lt;K553,$D$3/$D$5,K553)</f>
        <v>0</v>
      </c>
      <c r="J554" s="384" t="n">
        <f aca="false">K553*$D$4/12/100</f>
        <v>0</v>
      </c>
      <c r="K554" s="387" t="n">
        <f aca="false">K553-I554-L554-M554</f>
        <v>0</v>
      </c>
      <c r="L554" s="388"/>
      <c r="M554" s="389"/>
      <c r="N554" s="409"/>
      <c r="O554" s="409"/>
      <c r="P554" s="391" t="n">
        <f aca="false">IF(ISBLANK(L553),VALUE(P553),ROW(L553))</f>
        <v>10</v>
      </c>
      <c r="Q554" s="314" t="n">
        <f aca="false">Q553+P553-P554</f>
        <v>12</v>
      </c>
      <c r="R554" s="314" t="n">
        <f aca="false">INDEX(G:G,P554,1)</f>
        <v>69000</v>
      </c>
      <c r="S554" s="312"/>
    </row>
    <row r="555" s="379" customFormat="true" ht="14.9" hidden="true" customHeight="false" outlineLevel="0" collapsed="false">
      <c r="A555" s="403" t="n">
        <v>545</v>
      </c>
      <c r="B555" s="414"/>
      <c r="C555" s="413" t="n">
        <f aca="false">DATE(YEAR(C554),MONTH(C554)+1,DAY(C554))</f>
        <v>60449</v>
      </c>
      <c r="D555" s="383" t="n">
        <f aca="false">IF(R555*$D$4/100/12/(1-(1+$D$4/100/12)^(-Q555))&lt;G554,ROUNDUP(R555*$D$4/100/12/(1-(1+$D$4/100/12)^(-Q555)),0),G554+F555)</f>
        <v>0</v>
      </c>
      <c r="E555" s="384" t="n">
        <f aca="false">D555-F555</f>
        <v>0</v>
      </c>
      <c r="F555" s="384" t="n">
        <f aca="false">G554*$D$4*(C555-C554)/(DATE(YEAR(C555)+1,1,1)-DATE(YEAR(C555),1,1))/100</f>
        <v>0</v>
      </c>
      <c r="G555" s="385" t="n">
        <f aca="false">G554-E555-L555-M555</f>
        <v>0</v>
      </c>
      <c r="H555" s="386" t="n">
        <f aca="false">I555+J555</f>
        <v>0</v>
      </c>
      <c r="I555" s="384" t="n">
        <f aca="false">IF($D$3/$D$5&lt;K554,$D$3/$D$5,K554)</f>
        <v>0</v>
      </c>
      <c r="J555" s="384" t="n">
        <f aca="false">K554*$D$4/12/100</f>
        <v>0</v>
      </c>
      <c r="K555" s="387" t="n">
        <f aca="false">K554-I555-L555-M555</f>
        <v>0</v>
      </c>
      <c r="L555" s="388"/>
      <c r="M555" s="389"/>
      <c r="N555" s="409"/>
      <c r="O555" s="409"/>
      <c r="P555" s="391" t="n">
        <f aca="false">IF(ISBLANK(L554),VALUE(P554),ROW(L554))</f>
        <v>10</v>
      </c>
      <c r="Q555" s="314" t="n">
        <f aca="false">Q554+P554-P555</f>
        <v>12</v>
      </c>
      <c r="R555" s="314" t="n">
        <f aca="false">INDEX(G:G,P555,1)</f>
        <v>69000</v>
      </c>
      <c r="S555" s="312"/>
    </row>
    <row r="556" s="379" customFormat="true" ht="14.9" hidden="true" customHeight="false" outlineLevel="0" collapsed="false">
      <c r="A556" s="403" t="n">
        <v>546</v>
      </c>
      <c r="B556" s="414"/>
      <c r="C556" s="413" t="n">
        <f aca="false">DATE(YEAR(C555),MONTH(C555)+1,DAY(C555))</f>
        <v>60480</v>
      </c>
      <c r="D556" s="383" t="n">
        <f aca="false">IF(R556*$D$4/100/12/(1-(1+$D$4/100/12)^(-Q556))&lt;G555,ROUNDUP(R556*$D$4/100/12/(1-(1+$D$4/100/12)^(-Q556)),0),G555+F556)</f>
        <v>0</v>
      </c>
      <c r="E556" s="384" t="n">
        <f aca="false">D556-F556</f>
        <v>0</v>
      </c>
      <c r="F556" s="384" t="n">
        <f aca="false">G555*$D$4*(C556-C555)/(DATE(YEAR(C556)+1,1,1)-DATE(YEAR(C556),1,1))/100</f>
        <v>0</v>
      </c>
      <c r="G556" s="385" t="n">
        <f aca="false">G555-E556-L556-M556</f>
        <v>0</v>
      </c>
      <c r="H556" s="386" t="n">
        <f aca="false">I556+J556</f>
        <v>0</v>
      </c>
      <c r="I556" s="384" t="n">
        <f aca="false">IF($D$3/$D$5&lt;K555,$D$3/$D$5,K555)</f>
        <v>0</v>
      </c>
      <c r="J556" s="384" t="n">
        <f aca="false">K555*$D$4/12/100</f>
        <v>0</v>
      </c>
      <c r="K556" s="387" t="n">
        <f aca="false">K555-I556-L556-M556</f>
        <v>0</v>
      </c>
      <c r="L556" s="388"/>
      <c r="M556" s="389"/>
      <c r="N556" s="409"/>
      <c r="O556" s="409"/>
      <c r="P556" s="391" t="n">
        <f aca="false">IF(ISBLANK(L555),VALUE(P555),ROW(L555))</f>
        <v>10</v>
      </c>
      <c r="Q556" s="314" t="n">
        <f aca="false">Q555+P555-P556</f>
        <v>12</v>
      </c>
      <c r="R556" s="314" t="n">
        <f aca="false">INDEX(G:G,P556,1)</f>
        <v>69000</v>
      </c>
      <c r="S556" s="312"/>
    </row>
    <row r="557" s="379" customFormat="true" ht="14.9" hidden="true" customHeight="false" outlineLevel="0" collapsed="false">
      <c r="A557" s="403" t="n">
        <v>547</v>
      </c>
      <c r="B557" s="414"/>
      <c r="C557" s="413" t="n">
        <f aca="false">DATE(YEAR(C556),MONTH(C556)+1,DAY(C556))</f>
        <v>60511</v>
      </c>
      <c r="D557" s="383" t="n">
        <f aca="false">IF(R557*$D$4/100/12/(1-(1+$D$4/100/12)^(-Q557))&lt;G556,ROUNDUP(R557*$D$4/100/12/(1-(1+$D$4/100/12)^(-Q557)),0),G556+F557)</f>
        <v>0</v>
      </c>
      <c r="E557" s="384" t="n">
        <f aca="false">D557-F557</f>
        <v>0</v>
      </c>
      <c r="F557" s="384" t="n">
        <f aca="false">G556*$D$4*(C557-C556)/(DATE(YEAR(C557)+1,1,1)-DATE(YEAR(C557),1,1))/100</f>
        <v>0</v>
      </c>
      <c r="G557" s="385" t="n">
        <f aca="false">G556-E557-L557-M557</f>
        <v>0</v>
      </c>
      <c r="H557" s="386" t="n">
        <f aca="false">I557+J557</f>
        <v>0</v>
      </c>
      <c r="I557" s="384" t="n">
        <f aca="false">IF($D$3/$D$5&lt;K556,$D$3/$D$5,K556)</f>
        <v>0</v>
      </c>
      <c r="J557" s="384" t="n">
        <f aca="false">K556*$D$4/12/100</f>
        <v>0</v>
      </c>
      <c r="K557" s="387" t="n">
        <f aca="false">K556-I557-L557-M557</f>
        <v>0</v>
      </c>
      <c r="L557" s="388"/>
      <c r="M557" s="389"/>
      <c r="N557" s="409"/>
      <c r="O557" s="409"/>
      <c r="P557" s="391" t="n">
        <f aca="false">IF(ISBLANK(L556),VALUE(P556),ROW(L556))</f>
        <v>10</v>
      </c>
      <c r="Q557" s="314" t="n">
        <f aca="false">Q556+P556-P557</f>
        <v>12</v>
      </c>
      <c r="R557" s="314" t="n">
        <f aca="false">INDEX(G:G,P557,1)</f>
        <v>69000</v>
      </c>
      <c r="S557" s="312"/>
    </row>
    <row r="558" s="379" customFormat="true" ht="14.9" hidden="true" customHeight="false" outlineLevel="0" collapsed="false">
      <c r="A558" s="403" t="n">
        <v>548</v>
      </c>
      <c r="B558" s="414"/>
      <c r="C558" s="413" t="n">
        <f aca="false">DATE(YEAR(C557),MONTH(C557)+1,DAY(C557))</f>
        <v>60541</v>
      </c>
      <c r="D558" s="383" t="n">
        <f aca="false">IF(R558*$D$4/100/12/(1-(1+$D$4/100/12)^(-Q558))&lt;G557,ROUNDUP(R558*$D$4/100/12/(1-(1+$D$4/100/12)^(-Q558)),0),G557+F558)</f>
        <v>0</v>
      </c>
      <c r="E558" s="384" t="n">
        <f aca="false">D558-F558</f>
        <v>0</v>
      </c>
      <c r="F558" s="384" t="n">
        <f aca="false">G557*$D$4*(C558-C557)/(DATE(YEAR(C558)+1,1,1)-DATE(YEAR(C558),1,1))/100</f>
        <v>0</v>
      </c>
      <c r="G558" s="385" t="n">
        <f aca="false">G557-E558-L558-M558</f>
        <v>0</v>
      </c>
      <c r="H558" s="386" t="n">
        <f aca="false">I558+J558</f>
        <v>0</v>
      </c>
      <c r="I558" s="384" t="n">
        <f aca="false">IF($D$3/$D$5&lt;K557,$D$3/$D$5,K557)</f>
        <v>0</v>
      </c>
      <c r="J558" s="384" t="n">
        <f aca="false">K557*$D$4/12/100</f>
        <v>0</v>
      </c>
      <c r="K558" s="387" t="n">
        <f aca="false">K557-I558-L558-M558</f>
        <v>0</v>
      </c>
      <c r="L558" s="388"/>
      <c r="M558" s="389"/>
      <c r="N558" s="409"/>
      <c r="O558" s="409"/>
      <c r="P558" s="391" t="n">
        <f aca="false">IF(ISBLANK(L557),VALUE(P557),ROW(L557))</f>
        <v>10</v>
      </c>
      <c r="Q558" s="314" t="n">
        <f aca="false">Q557+P557-P558</f>
        <v>12</v>
      </c>
      <c r="R558" s="314" t="n">
        <f aca="false">INDEX(G:G,P558,1)</f>
        <v>69000</v>
      </c>
      <c r="S558" s="312"/>
    </row>
    <row r="559" s="379" customFormat="true" ht="14.9" hidden="true" customHeight="false" outlineLevel="0" collapsed="false">
      <c r="A559" s="403" t="n">
        <v>549</v>
      </c>
      <c r="B559" s="414"/>
      <c r="C559" s="413" t="n">
        <f aca="false">DATE(YEAR(C558),MONTH(C558)+1,DAY(C558))</f>
        <v>60572</v>
      </c>
      <c r="D559" s="383" t="n">
        <f aca="false">IF(R559*$D$4/100/12/(1-(1+$D$4/100/12)^(-Q559))&lt;G558,ROUNDUP(R559*$D$4/100/12/(1-(1+$D$4/100/12)^(-Q559)),0),G558+F559)</f>
        <v>0</v>
      </c>
      <c r="E559" s="384" t="n">
        <f aca="false">D559-F559</f>
        <v>0</v>
      </c>
      <c r="F559" s="384" t="n">
        <f aca="false">G558*$D$4*(C559-C558)/(DATE(YEAR(C559)+1,1,1)-DATE(YEAR(C559),1,1))/100</f>
        <v>0</v>
      </c>
      <c r="G559" s="385" t="n">
        <f aca="false">G558-E559-L559-M559</f>
        <v>0</v>
      </c>
      <c r="H559" s="386" t="n">
        <f aca="false">I559+J559</f>
        <v>0</v>
      </c>
      <c r="I559" s="384" t="n">
        <f aca="false">IF($D$3/$D$5&lt;K558,$D$3/$D$5,K558)</f>
        <v>0</v>
      </c>
      <c r="J559" s="384" t="n">
        <f aca="false">K558*$D$4/12/100</f>
        <v>0</v>
      </c>
      <c r="K559" s="387" t="n">
        <f aca="false">K558-I559-L559-M559</f>
        <v>0</v>
      </c>
      <c r="L559" s="388"/>
      <c r="M559" s="389"/>
      <c r="N559" s="409"/>
      <c r="O559" s="409"/>
      <c r="P559" s="391" t="n">
        <f aca="false">IF(ISBLANK(L558),VALUE(P558),ROW(L558))</f>
        <v>10</v>
      </c>
      <c r="Q559" s="314" t="n">
        <f aca="false">Q558+P558-P559</f>
        <v>12</v>
      </c>
      <c r="R559" s="314" t="n">
        <f aca="false">INDEX(G:G,P559,1)</f>
        <v>69000</v>
      </c>
      <c r="S559" s="312"/>
    </row>
    <row r="560" s="379" customFormat="true" ht="14.9" hidden="true" customHeight="false" outlineLevel="0" collapsed="false">
      <c r="A560" s="403" t="n">
        <v>550</v>
      </c>
      <c r="B560" s="414"/>
      <c r="C560" s="413" t="n">
        <f aca="false">DATE(YEAR(C559),MONTH(C559)+1,DAY(C559))</f>
        <v>60602</v>
      </c>
      <c r="D560" s="383" t="n">
        <f aca="false">IF(R560*$D$4/100/12/(1-(1+$D$4/100/12)^(-Q560))&lt;G559,ROUNDUP(R560*$D$4/100/12/(1-(1+$D$4/100/12)^(-Q560)),0),G559+F560)</f>
        <v>0</v>
      </c>
      <c r="E560" s="384" t="n">
        <f aca="false">D560-F560</f>
        <v>0</v>
      </c>
      <c r="F560" s="384" t="n">
        <f aca="false">G559*$D$4*(C560-C559)/(DATE(YEAR(C560)+1,1,1)-DATE(YEAR(C560),1,1))/100</f>
        <v>0</v>
      </c>
      <c r="G560" s="385" t="n">
        <f aca="false">G559-E560-L560-M560</f>
        <v>0</v>
      </c>
      <c r="H560" s="386" t="n">
        <f aca="false">I560+J560</f>
        <v>0</v>
      </c>
      <c r="I560" s="384" t="n">
        <f aca="false">IF($D$3/$D$5&lt;K559,$D$3/$D$5,K559)</f>
        <v>0</v>
      </c>
      <c r="J560" s="384" t="n">
        <f aca="false">K559*$D$4/12/100</f>
        <v>0</v>
      </c>
      <c r="K560" s="387" t="n">
        <f aca="false">K559-I560-L560-M560</f>
        <v>0</v>
      </c>
      <c r="L560" s="388"/>
      <c r="M560" s="389"/>
      <c r="N560" s="409"/>
      <c r="O560" s="409"/>
      <c r="P560" s="391" t="n">
        <f aca="false">IF(ISBLANK(L559),VALUE(P559),ROW(L559))</f>
        <v>10</v>
      </c>
      <c r="Q560" s="314" t="n">
        <f aca="false">Q559+P559-P560</f>
        <v>12</v>
      </c>
      <c r="R560" s="314" t="n">
        <f aca="false">INDEX(G:G,P560,1)</f>
        <v>69000</v>
      </c>
      <c r="S560" s="312"/>
    </row>
    <row r="561" s="379" customFormat="true" ht="14.9" hidden="true" customHeight="false" outlineLevel="0" collapsed="false">
      <c r="A561" s="403" t="n">
        <v>551</v>
      </c>
      <c r="B561" s="414"/>
      <c r="C561" s="413" t="n">
        <f aca="false">DATE(YEAR(C560),MONTH(C560)+1,DAY(C560))</f>
        <v>60633</v>
      </c>
      <c r="D561" s="383" t="n">
        <f aca="false">IF(R561*$D$4/100/12/(1-(1+$D$4/100/12)^(-Q561))&lt;G560,ROUNDUP(R561*$D$4/100/12/(1-(1+$D$4/100/12)^(-Q561)),0),G560+F561)</f>
        <v>0</v>
      </c>
      <c r="E561" s="384" t="n">
        <f aca="false">D561-F561</f>
        <v>0</v>
      </c>
      <c r="F561" s="384" t="n">
        <f aca="false">G560*$D$4*(C561-C560)/(DATE(YEAR(C561)+1,1,1)-DATE(YEAR(C561),1,1))/100</f>
        <v>0</v>
      </c>
      <c r="G561" s="385" t="n">
        <f aca="false">G560-E561-L561-M561</f>
        <v>0</v>
      </c>
      <c r="H561" s="386" t="n">
        <f aca="false">I561+J561</f>
        <v>0</v>
      </c>
      <c r="I561" s="384" t="n">
        <f aca="false">IF($D$3/$D$5&lt;K560,$D$3/$D$5,K560)</f>
        <v>0</v>
      </c>
      <c r="J561" s="384" t="n">
        <f aca="false">K560*$D$4/12/100</f>
        <v>0</v>
      </c>
      <c r="K561" s="387" t="n">
        <f aca="false">K560-I561-L561-M561</f>
        <v>0</v>
      </c>
      <c r="L561" s="388"/>
      <c r="M561" s="389"/>
      <c r="N561" s="409"/>
      <c r="O561" s="409"/>
      <c r="P561" s="391" t="n">
        <f aca="false">IF(ISBLANK(L560),VALUE(P560),ROW(L560))</f>
        <v>10</v>
      </c>
      <c r="Q561" s="314" t="n">
        <f aca="false">Q560+P560-P561</f>
        <v>12</v>
      </c>
      <c r="R561" s="314" t="n">
        <f aca="false">INDEX(G:G,P561,1)</f>
        <v>69000</v>
      </c>
      <c r="S561" s="312"/>
    </row>
    <row r="562" s="379" customFormat="true" ht="14.9" hidden="true" customHeight="false" outlineLevel="0" collapsed="false">
      <c r="A562" s="404" t="n">
        <v>552</v>
      </c>
      <c r="B562" s="414"/>
      <c r="C562" s="413" t="n">
        <f aca="false">DATE(YEAR(C561),MONTH(C561)+1,DAY(C561))</f>
        <v>60664</v>
      </c>
      <c r="D562" s="383" t="n">
        <f aca="false">IF(R562*$D$4/100/12/(1-(1+$D$4/100/12)^(-Q562))&lt;G561,ROUNDUP(R562*$D$4/100/12/(1-(1+$D$4/100/12)^(-Q562)),0),G561+F562)</f>
        <v>0</v>
      </c>
      <c r="E562" s="395" t="n">
        <f aca="false">D562-F562</f>
        <v>0</v>
      </c>
      <c r="F562" s="384" t="n">
        <f aca="false">G561*$D$4*(C562-C561)/(DATE(YEAR(C562)+1,1,1)-DATE(YEAR(C562),1,1))/100</f>
        <v>0</v>
      </c>
      <c r="G562" s="405" t="n">
        <f aca="false">G561-E562-L562-M562</f>
        <v>0</v>
      </c>
      <c r="H562" s="406" t="n">
        <f aca="false">I562+J562</f>
        <v>0</v>
      </c>
      <c r="I562" s="395" t="n">
        <f aca="false">IF($D$3/$D$5&lt;K561,$D$3/$D$5,K561)</f>
        <v>0</v>
      </c>
      <c r="J562" s="395" t="n">
        <f aca="false">K561*$D$4/12/100</f>
        <v>0</v>
      </c>
      <c r="K562" s="407" t="n">
        <f aca="false">K561-I562-L562-M562</f>
        <v>0</v>
      </c>
      <c r="L562" s="408"/>
      <c r="M562" s="410"/>
      <c r="N562" s="409"/>
      <c r="O562" s="409"/>
      <c r="P562" s="391" t="n">
        <f aca="false">IF(ISBLANK(L561),VALUE(P561),ROW(L561))</f>
        <v>10</v>
      </c>
      <c r="Q562" s="314" t="n">
        <f aca="false">Q561+P561-P562</f>
        <v>12</v>
      </c>
      <c r="R562" s="314" t="n">
        <f aca="false">INDEX(G:G,P562,1)</f>
        <v>69000</v>
      </c>
      <c r="S562" s="312"/>
    </row>
    <row r="563" s="379" customFormat="true" ht="14.9" hidden="true" customHeight="false" outlineLevel="0" collapsed="false">
      <c r="A563" s="380" t="n">
        <v>553</v>
      </c>
      <c r="B563" s="412"/>
      <c r="C563" s="413" t="n">
        <f aca="false">DATE(YEAR(C562),MONTH(C562)+1,DAY(C562))</f>
        <v>60692</v>
      </c>
      <c r="D563" s="383" t="n">
        <f aca="false">IF(R563*$D$4/100/12/(1-(1+$D$4/100/12)^(-Q563))&lt;G562,ROUNDUP(R563*$D$4/100/12/(1-(1+$D$4/100/12)^(-Q563)),0),G562+F563)</f>
        <v>0</v>
      </c>
      <c r="E563" s="384" t="n">
        <f aca="false">D563-F563</f>
        <v>0</v>
      </c>
      <c r="F563" s="384" t="n">
        <f aca="false">G562*$D$4*(C563-C562)/(DATE(YEAR(C563)+1,1,1)-DATE(YEAR(C563),1,1))/100</f>
        <v>0</v>
      </c>
      <c r="G563" s="385" t="n">
        <f aca="false">G562-E563-L563-M563</f>
        <v>0</v>
      </c>
      <c r="H563" s="386" t="n">
        <f aca="false">I563+J563</f>
        <v>0</v>
      </c>
      <c r="I563" s="384" t="n">
        <f aca="false">IF($D$3/$D$5&lt;K562,$D$3/$D$5,K562)</f>
        <v>0</v>
      </c>
      <c r="J563" s="384" t="n">
        <f aca="false">K562*$D$4/12/100</f>
        <v>0</v>
      </c>
      <c r="K563" s="387" t="n">
        <f aca="false">K562-I563-L563-M563</f>
        <v>0</v>
      </c>
      <c r="L563" s="388"/>
      <c r="M563" s="389"/>
      <c r="N563" s="409"/>
      <c r="O563" s="409"/>
      <c r="P563" s="391" t="n">
        <f aca="false">IF(ISBLANK(L562),VALUE(P562),ROW(L562))</f>
        <v>10</v>
      </c>
      <c r="Q563" s="314" t="n">
        <f aca="false">Q562+P562-P563</f>
        <v>12</v>
      </c>
      <c r="R563" s="314" t="n">
        <f aca="false">INDEX(G:G,P563,1)</f>
        <v>69000</v>
      </c>
      <c r="S563" s="312"/>
    </row>
    <row r="564" s="379" customFormat="true" ht="14.9" hidden="true" customHeight="false" outlineLevel="0" collapsed="false">
      <c r="A564" s="380" t="n">
        <v>554</v>
      </c>
      <c r="B564" s="412"/>
      <c r="C564" s="413" t="n">
        <f aca="false">DATE(YEAR(C563),MONTH(C563)+1,DAY(C563))</f>
        <v>60723</v>
      </c>
      <c r="D564" s="383" t="n">
        <f aca="false">IF(R564*$D$4/100/12/(1-(1+$D$4/100/12)^(-Q564))&lt;G563,ROUNDUP(R564*$D$4/100/12/(1-(1+$D$4/100/12)^(-Q564)),0),G563+F564)</f>
        <v>0</v>
      </c>
      <c r="E564" s="384" t="n">
        <f aca="false">D564-F564</f>
        <v>0</v>
      </c>
      <c r="F564" s="384" t="n">
        <f aca="false">G563*$D$4*(C564-C563)/(DATE(YEAR(C564)+1,1,1)-DATE(YEAR(C564),1,1))/100</f>
        <v>0</v>
      </c>
      <c r="G564" s="385" t="n">
        <f aca="false">G563-E564-L564-M564</f>
        <v>0</v>
      </c>
      <c r="H564" s="386" t="n">
        <f aca="false">I564+J564</f>
        <v>0</v>
      </c>
      <c r="I564" s="384" t="n">
        <f aca="false">IF($D$3/$D$5&lt;K563,$D$3/$D$5,K563)</f>
        <v>0</v>
      </c>
      <c r="J564" s="384" t="n">
        <f aca="false">K563*$D$4/12/100</f>
        <v>0</v>
      </c>
      <c r="K564" s="387" t="n">
        <f aca="false">K563-I564-L564-M564</f>
        <v>0</v>
      </c>
      <c r="L564" s="388"/>
      <c r="M564" s="389"/>
      <c r="N564" s="409"/>
      <c r="O564" s="409"/>
      <c r="P564" s="391" t="n">
        <f aca="false">IF(ISBLANK(L563),VALUE(P563),ROW(L563))</f>
        <v>10</v>
      </c>
      <c r="Q564" s="314" t="n">
        <f aca="false">Q563+P563-P564</f>
        <v>12</v>
      </c>
      <c r="R564" s="314" t="n">
        <f aca="false">INDEX(G:G,P564,1)</f>
        <v>69000</v>
      </c>
      <c r="S564" s="312"/>
    </row>
    <row r="565" s="379" customFormat="true" ht="14.9" hidden="true" customHeight="false" outlineLevel="0" collapsed="false">
      <c r="A565" s="380" t="n">
        <v>555</v>
      </c>
      <c r="B565" s="412"/>
      <c r="C565" s="413" t="n">
        <f aca="false">DATE(YEAR(C564),MONTH(C564)+1,DAY(C564))</f>
        <v>60753</v>
      </c>
      <c r="D565" s="383" t="n">
        <f aca="false">IF(R565*$D$4/100/12/(1-(1+$D$4/100/12)^(-Q565))&lt;G564,ROUNDUP(R565*$D$4/100/12/(1-(1+$D$4/100/12)^(-Q565)),0),G564+F565)</f>
        <v>0</v>
      </c>
      <c r="E565" s="384" t="n">
        <f aca="false">D565-F565</f>
        <v>0</v>
      </c>
      <c r="F565" s="384" t="n">
        <f aca="false">G564*$D$4*(C565-C564)/(DATE(YEAR(C565)+1,1,1)-DATE(YEAR(C565),1,1))/100</f>
        <v>0</v>
      </c>
      <c r="G565" s="385" t="n">
        <f aca="false">G564-E565-L565-M565</f>
        <v>0</v>
      </c>
      <c r="H565" s="386" t="n">
        <f aca="false">I565+J565</f>
        <v>0</v>
      </c>
      <c r="I565" s="384" t="n">
        <f aca="false">IF($D$3/$D$5&lt;K564,$D$3/$D$5,K564)</f>
        <v>0</v>
      </c>
      <c r="J565" s="384" t="n">
        <f aca="false">K564*$D$4/12/100</f>
        <v>0</v>
      </c>
      <c r="K565" s="387" t="n">
        <f aca="false">K564-I565-L565-M565</f>
        <v>0</v>
      </c>
      <c r="L565" s="388"/>
      <c r="M565" s="389"/>
      <c r="N565" s="409"/>
      <c r="O565" s="409"/>
      <c r="P565" s="391" t="n">
        <f aca="false">IF(ISBLANK(L564),VALUE(P564),ROW(L564))</f>
        <v>10</v>
      </c>
      <c r="Q565" s="314" t="n">
        <f aca="false">Q564+P564-P565</f>
        <v>12</v>
      </c>
      <c r="R565" s="314" t="n">
        <f aca="false">INDEX(G:G,P565,1)</f>
        <v>69000</v>
      </c>
      <c r="S565" s="312"/>
    </row>
    <row r="566" s="379" customFormat="true" ht="14.9" hidden="true" customHeight="false" outlineLevel="0" collapsed="false">
      <c r="A566" s="380" t="n">
        <v>556</v>
      </c>
      <c r="B566" s="412"/>
      <c r="C566" s="413" t="n">
        <f aca="false">DATE(YEAR(C565),MONTH(C565)+1,DAY(C565))</f>
        <v>60784</v>
      </c>
      <c r="D566" s="383" t="n">
        <f aca="false">IF(R566*$D$4/100/12/(1-(1+$D$4/100/12)^(-Q566))&lt;G565,ROUNDUP(R566*$D$4/100/12/(1-(1+$D$4/100/12)^(-Q566)),0),G565+F566)</f>
        <v>0</v>
      </c>
      <c r="E566" s="384" t="n">
        <f aca="false">D566-F566</f>
        <v>0</v>
      </c>
      <c r="F566" s="384" t="n">
        <f aca="false">G565*$D$4*(C566-C565)/(DATE(YEAR(C566)+1,1,1)-DATE(YEAR(C566),1,1))/100</f>
        <v>0</v>
      </c>
      <c r="G566" s="385" t="n">
        <f aca="false">G565-E566-L566-M566</f>
        <v>0</v>
      </c>
      <c r="H566" s="386" t="n">
        <f aca="false">I566+J566</f>
        <v>0</v>
      </c>
      <c r="I566" s="384" t="n">
        <f aca="false">IF($D$3/$D$5&lt;K565,$D$3/$D$5,K565)</f>
        <v>0</v>
      </c>
      <c r="J566" s="384" t="n">
        <f aca="false">K565*$D$4/12/100</f>
        <v>0</v>
      </c>
      <c r="K566" s="387" t="n">
        <f aca="false">K565-I566-L566-M566</f>
        <v>0</v>
      </c>
      <c r="L566" s="388"/>
      <c r="M566" s="389"/>
      <c r="N566" s="409"/>
      <c r="O566" s="409"/>
      <c r="P566" s="391" t="n">
        <f aca="false">IF(ISBLANK(L565),VALUE(P565),ROW(L565))</f>
        <v>10</v>
      </c>
      <c r="Q566" s="314" t="n">
        <f aca="false">Q565+P565-P566</f>
        <v>12</v>
      </c>
      <c r="R566" s="314" t="n">
        <f aca="false">INDEX(G:G,P566,1)</f>
        <v>69000</v>
      </c>
      <c r="S566" s="312"/>
    </row>
    <row r="567" s="379" customFormat="true" ht="14.9" hidden="true" customHeight="false" outlineLevel="0" collapsed="false">
      <c r="A567" s="380" t="n">
        <v>557</v>
      </c>
      <c r="B567" s="412"/>
      <c r="C567" s="413" t="n">
        <f aca="false">DATE(YEAR(C566),MONTH(C566)+1,DAY(C566))</f>
        <v>60814</v>
      </c>
      <c r="D567" s="383" t="n">
        <f aca="false">IF(R567*$D$4/100/12/(1-(1+$D$4/100/12)^(-Q567))&lt;G566,ROUNDUP(R567*$D$4/100/12/(1-(1+$D$4/100/12)^(-Q567)),0),G566+F567)</f>
        <v>0</v>
      </c>
      <c r="E567" s="384" t="n">
        <f aca="false">D567-F567</f>
        <v>0</v>
      </c>
      <c r="F567" s="384" t="n">
        <f aca="false">G566*$D$4*(C567-C566)/(DATE(YEAR(C567)+1,1,1)-DATE(YEAR(C567),1,1))/100</f>
        <v>0</v>
      </c>
      <c r="G567" s="385" t="n">
        <f aca="false">G566-E567-L567-M567</f>
        <v>0</v>
      </c>
      <c r="H567" s="386" t="n">
        <f aca="false">I567+J567</f>
        <v>0</v>
      </c>
      <c r="I567" s="384" t="n">
        <f aca="false">IF($D$3/$D$5&lt;K566,$D$3/$D$5,K566)</f>
        <v>0</v>
      </c>
      <c r="J567" s="384" t="n">
        <f aca="false">K566*$D$4/12/100</f>
        <v>0</v>
      </c>
      <c r="K567" s="387" t="n">
        <f aca="false">K566-I567-L567-M567</f>
        <v>0</v>
      </c>
      <c r="L567" s="388"/>
      <c r="M567" s="389"/>
      <c r="N567" s="409"/>
      <c r="O567" s="409"/>
      <c r="P567" s="391" t="n">
        <f aca="false">IF(ISBLANK(L566),VALUE(P566),ROW(L566))</f>
        <v>10</v>
      </c>
      <c r="Q567" s="314" t="n">
        <f aca="false">Q566+P566-P567</f>
        <v>12</v>
      </c>
      <c r="R567" s="314" t="n">
        <f aca="false">INDEX(G:G,P567,1)</f>
        <v>69000</v>
      </c>
      <c r="S567" s="312"/>
    </row>
    <row r="568" s="379" customFormat="true" ht="14.9" hidden="true" customHeight="false" outlineLevel="0" collapsed="false">
      <c r="A568" s="380" t="n">
        <v>558</v>
      </c>
      <c r="B568" s="412"/>
      <c r="C568" s="413" t="n">
        <f aca="false">DATE(YEAR(C567),MONTH(C567)+1,DAY(C567))</f>
        <v>60845</v>
      </c>
      <c r="D568" s="383" t="n">
        <f aca="false">IF(R568*$D$4/100/12/(1-(1+$D$4/100/12)^(-Q568))&lt;G567,ROUNDUP(R568*$D$4/100/12/(1-(1+$D$4/100/12)^(-Q568)),0),G567+F568)</f>
        <v>0</v>
      </c>
      <c r="E568" s="384" t="n">
        <f aca="false">D568-F568</f>
        <v>0</v>
      </c>
      <c r="F568" s="384" t="n">
        <f aca="false">G567*$D$4*(C568-C567)/(DATE(YEAR(C568)+1,1,1)-DATE(YEAR(C568),1,1))/100</f>
        <v>0</v>
      </c>
      <c r="G568" s="385" t="n">
        <f aca="false">G567-E568-L568-M568</f>
        <v>0</v>
      </c>
      <c r="H568" s="386" t="n">
        <f aca="false">I568+J568</f>
        <v>0</v>
      </c>
      <c r="I568" s="384" t="n">
        <f aca="false">IF($D$3/$D$5&lt;K567,$D$3/$D$5,K567)</f>
        <v>0</v>
      </c>
      <c r="J568" s="384" t="n">
        <f aca="false">K567*$D$4/12/100</f>
        <v>0</v>
      </c>
      <c r="K568" s="387" t="n">
        <f aca="false">K567-I568-L568-M568</f>
        <v>0</v>
      </c>
      <c r="L568" s="388"/>
      <c r="M568" s="389"/>
      <c r="N568" s="409"/>
      <c r="O568" s="409"/>
      <c r="P568" s="391" t="n">
        <f aca="false">IF(ISBLANK(L567),VALUE(P567),ROW(L567))</f>
        <v>10</v>
      </c>
      <c r="Q568" s="314" t="n">
        <f aca="false">Q567+P567-P568</f>
        <v>12</v>
      </c>
      <c r="R568" s="314" t="n">
        <f aca="false">INDEX(G:G,P568,1)</f>
        <v>69000</v>
      </c>
      <c r="S568" s="312"/>
    </row>
    <row r="569" s="379" customFormat="true" ht="14.9" hidden="true" customHeight="false" outlineLevel="0" collapsed="false">
      <c r="A569" s="380" t="n">
        <v>559</v>
      </c>
      <c r="B569" s="412"/>
      <c r="C569" s="413" t="n">
        <f aca="false">DATE(YEAR(C568),MONTH(C568)+1,DAY(C568))</f>
        <v>60876</v>
      </c>
      <c r="D569" s="383" t="n">
        <f aca="false">IF(R569*$D$4/100/12/(1-(1+$D$4/100/12)^(-Q569))&lt;G568,ROUNDUP(R569*$D$4/100/12/(1-(1+$D$4/100/12)^(-Q569)),0),G568+F569)</f>
        <v>0</v>
      </c>
      <c r="E569" s="384" t="n">
        <f aca="false">D569-F569</f>
        <v>0</v>
      </c>
      <c r="F569" s="384" t="n">
        <f aca="false">G568*$D$4*(C569-C568)/(DATE(YEAR(C569)+1,1,1)-DATE(YEAR(C569),1,1))/100</f>
        <v>0</v>
      </c>
      <c r="G569" s="385" t="n">
        <f aca="false">G568-E569-L569-M569</f>
        <v>0</v>
      </c>
      <c r="H569" s="386" t="n">
        <f aca="false">I569+J569</f>
        <v>0</v>
      </c>
      <c r="I569" s="384" t="n">
        <f aca="false">IF($D$3/$D$5&lt;K568,$D$3/$D$5,K568)</f>
        <v>0</v>
      </c>
      <c r="J569" s="384" t="n">
        <f aca="false">K568*$D$4/12/100</f>
        <v>0</v>
      </c>
      <c r="K569" s="387" t="n">
        <f aca="false">K568-I569-L569-M569</f>
        <v>0</v>
      </c>
      <c r="L569" s="388"/>
      <c r="M569" s="389"/>
      <c r="N569" s="409"/>
      <c r="O569" s="409"/>
      <c r="P569" s="391" t="n">
        <f aca="false">IF(ISBLANK(L568),VALUE(P568),ROW(L568))</f>
        <v>10</v>
      </c>
      <c r="Q569" s="314" t="n">
        <f aca="false">Q568+P568-P569</f>
        <v>12</v>
      </c>
      <c r="R569" s="314" t="n">
        <f aca="false">INDEX(G:G,P569,1)</f>
        <v>69000</v>
      </c>
      <c r="S569" s="312"/>
    </row>
    <row r="570" s="379" customFormat="true" ht="14.9" hidden="true" customHeight="false" outlineLevel="0" collapsed="false">
      <c r="A570" s="380" t="n">
        <v>560</v>
      </c>
      <c r="B570" s="412"/>
      <c r="C570" s="413" t="n">
        <f aca="false">DATE(YEAR(C569),MONTH(C569)+1,DAY(C569))</f>
        <v>60906</v>
      </c>
      <c r="D570" s="383" t="n">
        <f aca="false">IF(R570*$D$4/100/12/(1-(1+$D$4/100/12)^(-Q570))&lt;G569,ROUNDUP(R570*$D$4/100/12/(1-(1+$D$4/100/12)^(-Q570)),0),G569+F570)</f>
        <v>0</v>
      </c>
      <c r="E570" s="384" t="n">
        <f aca="false">D570-F570</f>
        <v>0</v>
      </c>
      <c r="F570" s="384" t="n">
        <f aca="false">G569*$D$4*(C570-C569)/(DATE(YEAR(C570)+1,1,1)-DATE(YEAR(C570),1,1))/100</f>
        <v>0</v>
      </c>
      <c r="G570" s="385" t="n">
        <f aca="false">G569-E570-L570-M570</f>
        <v>0</v>
      </c>
      <c r="H570" s="386" t="n">
        <f aca="false">I570+J570</f>
        <v>0</v>
      </c>
      <c r="I570" s="384" t="n">
        <f aca="false">IF($D$3/$D$5&lt;K569,$D$3/$D$5,K569)</f>
        <v>0</v>
      </c>
      <c r="J570" s="384" t="n">
        <f aca="false">K569*$D$4/12/100</f>
        <v>0</v>
      </c>
      <c r="K570" s="387" t="n">
        <f aca="false">K569-I570-L570-M570</f>
        <v>0</v>
      </c>
      <c r="L570" s="388"/>
      <c r="M570" s="389"/>
      <c r="N570" s="409"/>
      <c r="O570" s="409"/>
      <c r="P570" s="391" t="n">
        <f aca="false">IF(ISBLANK(L569),VALUE(P569),ROW(L569))</f>
        <v>10</v>
      </c>
      <c r="Q570" s="314" t="n">
        <f aca="false">Q569+P569-P570</f>
        <v>12</v>
      </c>
      <c r="R570" s="314" t="n">
        <f aca="false">INDEX(G:G,P570,1)</f>
        <v>69000</v>
      </c>
      <c r="S570" s="312"/>
    </row>
    <row r="571" s="379" customFormat="true" ht="14.9" hidden="true" customHeight="false" outlineLevel="0" collapsed="false">
      <c r="A571" s="380" t="n">
        <v>561</v>
      </c>
      <c r="B571" s="412"/>
      <c r="C571" s="413" t="n">
        <f aca="false">DATE(YEAR(C570),MONTH(C570)+1,DAY(C570))</f>
        <v>60937</v>
      </c>
      <c r="D571" s="383" t="n">
        <f aca="false">IF(R571*$D$4/100/12/(1-(1+$D$4/100/12)^(-Q571))&lt;G570,ROUNDUP(R571*$D$4/100/12/(1-(1+$D$4/100/12)^(-Q571)),0),G570+F571)</f>
        <v>0</v>
      </c>
      <c r="E571" s="384" t="n">
        <f aca="false">D571-F571</f>
        <v>0</v>
      </c>
      <c r="F571" s="384" t="n">
        <f aca="false">G570*$D$4*(C571-C570)/(DATE(YEAR(C571)+1,1,1)-DATE(YEAR(C571),1,1))/100</f>
        <v>0</v>
      </c>
      <c r="G571" s="385" t="n">
        <f aca="false">G570-E571-L571-M571</f>
        <v>0</v>
      </c>
      <c r="H571" s="386" t="n">
        <f aca="false">I571+J571</f>
        <v>0</v>
      </c>
      <c r="I571" s="384" t="n">
        <f aca="false">IF($D$3/$D$5&lt;K570,$D$3/$D$5,K570)</f>
        <v>0</v>
      </c>
      <c r="J571" s="384" t="n">
        <f aca="false">K570*$D$4/12/100</f>
        <v>0</v>
      </c>
      <c r="K571" s="387" t="n">
        <f aca="false">K570-I571-L571-M571</f>
        <v>0</v>
      </c>
      <c r="L571" s="388"/>
      <c r="M571" s="389"/>
      <c r="N571" s="409"/>
      <c r="O571" s="409"/>
      <c r="P571" s="391" t="n">
        <f aca="false">IF(ISBLANK(L570),VALUE(P570),ROW(L570))</f>
        <v>10</v>
      </c>
      <c r="Q571" s="314" t="n">
        <f aca="false">Q570+P570-P571</f>
        <v>12</v>
      </c>
      <c r="R571" s="314" t="n">
        <f aca="false">INDEX(G:G,P571,1)</f>
        <v>69000</v>
      </c>
      <c r="S571" s="312"/>
    </row>
    <row r="572" s="379" customFormat="true" ht="14.9" hidden="true" customHeight="false" outlineLevel="0" collapsed="false">
      <c r="A572" s="380" t="n">
        <v>562</v>
      </c>
      <c r="B572" s="412"/>
      <c r="C572" s="413" t="n">
        <f aca="false">DATE(YEAR(C571),MONTH(C571)+1,DAY(C571))</f>
        <v>60967</v>
      </c>
      <c r="D572" s="383" t="n">
        <f aca="false">IF(R572*$D$4/100/12/(1-(1+$D$4/100/12)^(-Q572))&lt;G571,ROUNDUP(R572*$D$4/100/12/(1-(1+$D$4/100/12)^(-Q572)),0),G571+F572)</f>
        <v>0</v>
      </c>
      <c r="E572" s="384" t="n">
        <f aca="false">D572-F572</f>
        <v>0</v>
      </c>
      <c r="F572" s="384" t="n">
        <f aca="false">G571*$D$4*(C572-C571)/(DATE(YEAR(C572)+1,1,1)-DATE(YEAR(C572),1,1))/100</f>
        <v>0</v>
      </c>
      <c r="G572" s="385" t="n">
        <f aca="false">G571-E572-L572-M572</f>
        <v>0</v>
      </c>
      <c r="H572" s="386" t="n">
        <f aca="false">I572+J572</f>
        <v>0</v>
      </c>
      <c r="I572" s="384" t="n">
        <f aca="false">IF($D$3/$D$5&lt;K571,$D$3/$D$5,K571)</f>
        <v>0</v>
      </c>
      <c r="J572" s="384" t="n">
        <f aca="false">K571*$D$4/12/100</f>
        <v>0</v>
      </c>
      <c r="K572" s="387" t="n">
        <f aca="false">K571-I572-L572-M572</f>
        <v>0</v>
      </c>
      <c r="L572" s="388"/>
      <c r="M572" s="389"/>
      <c r="N572" s="409"/>
      <c r="O572" s="409"/>
      <c r="P572" s="391" t="n">
        <f aca="false">IF(ISBLANK(L571),VALUE(P571),ROW(L571))</f>
        <v>10</v>
      </c>
      <c r="Q572" s="314" t="n">
        <f aca="false">Q571+P571-P572</f>
        <v>12</v>
      </c>
      <c r="R572" s="314" t="n">
        <f aca="false">INDEX(G:G,P572,1)</f>
        <v>69000</v>
      </c>
      <c r="S572" s="312"/>
    </row>
    <row r="573" s="379" customFormat="true" ht="14.9" hidden="true" customHeight="false" outlineLevel="0" collapsed="false">
      <c r="A573" s="380" t="n">
        <v>563</v>
      </c>
      <c r="B573" s="412"/>
      <c r="C573" s="413" t="n">
        <f aca="false">DATE(YEAR(C572),MONTH(C572)+1,DAY(C572))</f>
        <v>60998</v>
      </c>
      <c r="D573" s="383" t="n">
        <f aca="false">IF(R573*$D$4/100/12/(1-(1+$D$4/100/12)^(-Q573))&lt;G572,ROUNDUP(R573*$D$4/100/12/(1-(1+$D$4/100/12)^(-Q573)),0),G572+F573)</f>
        <v>0</v>
      </c>
      <c r="E573" s="384" t="n">
        <f aca="false">D573-F573</f>
        <v>0</v>
      </c>
      <c r="F573" s="384" t="n">
        <f aca="false">G572*$D$4*(C573-C572)/(DATE(YEAR(C573)+1,1,1)-DATE(YEAR(C573),1,1))/100</f>
        <v>0</v>
      </c>
      <c r="G573" s="385" t="n">
        <f aca="false">G572-E573-L573-M573</f>
        <v>0</v>
      </c>
      <c r="H573" s="386" t="n">
        <f aca="false">I573+J573</f>
        <v>0</v>
      </c>
      <c r="I573" s="384" t="n">
        <f aca="false">IF($D$3/$D$5&lt;K572,$D$3/$D$5,K572)</f>
        <v>0</v>
      </c>
      <c r="J573" s="384" t="n">
        <f aca="false">K572*$D$4/12/100</f>
        <v>0</v>
      </c>
      <c r="K573" s="387" t="n">
        <f aca="false">K572-I573-L573-M573</f>
        <v>0</v>
      </c>
      <c r="L573" s="388"/>
      <c r="M573" s="389"/>
      <c r="N573" s="409"/>
      <c r="O573" s="409"/>
      <c r="P573" s="391" t="n">
        <f aca="false">IF(ISBLANK(L572),VALUE(P572),ROW(L572))</f>
        <v>10</v>
      </c>
      <c r="Q573" s="314" t="n">
        <f aca="false">Q572+P572-P573</f>
        <v>12</v>
      </c>
      <c r="R573" s="314" t="n">
        <f aca="false">INDEX(G:G,P573,1)</f>
        <v>69000</v>
      </c>
      <c r="S573" s="312"/>
    </row>
    <row r="574" s="379" customFormat="true" ht="14.9" hidden="true" customHeight="false" outlineLevel="0" collapsed="false">
      <c r="A574" s="380" t="n">
        <v>564</v>
      </c>
      <c r="B574" s="412"/>
      <c r="C574" s="413" t="n">
        <f aca="false">DATE(YEAR(C573),MONTH(C573)+1,DAY(C573))</f>
        <v>61029</v>
      </c>
      <c r="D574" s="383" t="n">
        <f aca="false">IF(R574*$D$4/100/12/(1-(1+$D$4/100/12)^(-Q574))&lt;G573,ROUNDUP(R574*$D$4/100/12/(1-(1+$D$4/100/12)^(-Q574)),0),G573+F574)</f>
        <v>0</v>
      </c>
      <c r="E574" s="384" t="n">
        <f aca="false">D574-F574</f>
        <v>0</v>
      </c>
      <c r="F574" s="384" t="n">
        <f aca="false">G573*$D$4*(C574-C573)/(DATE(YEAR(C574)+1,1,1)-DATE(YEAR(C574),1,1))/100</f>
        <v>0</v>
      </c>
      <c r="G574" s="385" t="n">
        <f aca="false">G573-E574-L574-M574</f>
        <v>0</v>
      </c>
      <c r="H574" s="386" t="n">
        <f aca="false">I574+J574</f>
        <v>0</v>
      </c>
      <c r="I574" s="384" t="n">
        <f aca="false">IF($D$3/$D$5&lt;K573,$D$3/$D$5,K573)</f>
        <v>0</v>
      </c>
      <c r="J574" s="384" t="n">
        <f aca="false">K573*$D$4/12/100</f>
        <v>0</v>
      </c>
      <c r="K574" s="387" t="n">
        <f aca="false">K573-I574-L574-M574</f>
        <v>0</v>
      </c>
      <c r="L574" s="388"/>
      <c r="M574" s="389"/>
      <c r="N574" s="409"/>
      <c r="O574" s="409"/>
      <c r="P574" s="391" t="n">
        <f aca="false">IF(ISBLANK(L573),VALUE(P573),ROW(L573))</f>
        <v>10</v>
      </c>
      <c r="Q574" s="314" t="n">
        <f aca="false">Q573+P573-P574</f>
        <v>12</v>
      </c>
      <c r="R574" s="314" t="n">
        <f aca="false">INDEX(G:G,P574,1)</f>
        <v>69000</v>
      </c>
      <c r="S574" s="312"/>
    </row>
    <row r="575" s="379" customFormat="true" ht="14.9" hidden="true" customHeight="false" outlineLevel="0" collapsed="false">
      <c r="A575" s="396" t="n">
        <v>565</v>
      </c>
      <c r="B575" s="414"/>
      <c r="C575" s="413" t="n">
        <f aca="false">DATE(YEAR(C574),MONTH(C574)+1,DAY(C574))</f>
        <v>61057</v>
      </c>
      <c r="D575" s="383" t="n">
        <f aca="false">IF(R575*$D$4/100/12/(1-(1+$D$4/100/12)^(-Q575))&lt;G574,ROUNDUP(R575*$D$4/100/12/(1-(1+$D$4/100/12)^(-Q575)),0),G574+F575)</f>
        <v>0</v>
      </c>
      <c r="E575" s="399" t="n">
        <f aca="false">D575-F575</f>
        <v>0</v>
      </c>
      <c r="F575" s="384" t="n">
        <f aca="false">G574*$D$4*(C575-C574)/(DATE(YEAR(C575)+1,1,1)-DATE(YEAR(C575),1,1))/100</f>
        <v>0</v>
      </c>
      <c r="G575" s="397" t="n">
        <f aca="false">G574-E575-L575-M575</f>
        <v>0</v>
      </c>
      <c r="H575" s="398" t="n">
        <f aca="false">I575+J575</f>
        <v>0</v>
      </c>
      <c r="I575" s="399" t="n">
        <f aca="false">IF($D$3/$D$5&lt;K574,$D$3/$D$5,K574)</f>
        <v>0</v>
      </c>
      <c r="J575" s="399" t="n">
        <f aca="false">K574*$D$4/12/100</f>
        <v>0</v>
      </c>
      <c r="K575" s="400" t="n">
        <f aca="false">K574-I575-L575-M575</f>
        <v>0</v>
      </c>
      <c r="L575" s="401"/>
      <c r="M575" s="402"/>
      <c r="N575" s="409"/>
      <c r="O575" s="409"/>
      <c r="P575" s="391" t="n">
        <f aca="false">IF(ISBLANK(L574),VALUE(P574),ROW(L574))</f>
        <v>10</v>
      </c>
      <c r="Q575" s="314" t="n">
        <f aca="false">Q574+P574-P575</f>
        <v>12</v>
      </c>
      <c r="R575" s="314" t="n">
        <f aca="false">INDEX(G:G,P575,1)</f>
        <v>69000</v>
      </c>
      <c r="S575" s="312"/>
    </row>
    <row r="576" s="379" customFormat="true" ht="14.9" hidden="true" customHeight="false" outlineLevel="0" collapsed="false">
      <c r="A576" s="403" t="n">
        <v>566</v>
      </c>
      <c r="B576" s="414"/>
      <c r="C576" s="413" t="n">
        <f aca="false">DATE(YEAR(C575),MONTH(C575)+1,DAY(C575))</f>
        <v>61088</v>
      </c>
      <c r="D576" s="383" t="n">
        <f aca="false">IF(R576*$D$4/100/12/(1-(1+$D$4/100/12)^(-Q576))&lt;G575,ROUNDUP(R576*$D$4/100/12/(1-(1+$D$4/100/12)^(-Q576)),0),G575+F576)</f>
        <v>0</v>
      </c>
      <c r="E576" s="384" t="n">
        <f aca="false">D576-F576</f>
        <v>0</v>
      </c>
      <c r="F576" s="384" t="n">
        <f aca="false">G575*$D$4*(C576-C575)/(DATE(YEAR(C576)+1,1,1)-DATE(YEAR(C576),1,1))/100</f>
        <v>0</v>
      </c>
      <c r="G576" s="385" t="n">
        <f aca="false">G575-E576-L576-M576</f>
        <v>0</v>
      </c>
      <c r="H576" s="386" t="n">
        <f aca="false">I576+J576</f>
        <v>0</v>
      </c>
      <c r="I576" s="384" t="n">
        <f aca="false">IF($D$3/$D$5&lt;K575,$D$3/$D$5,K575)</f>
        <v>0</v>
      </c>
      <c r="J576" s="384" t="n">
        <f aca="false">K575*$D$4/12/100</f>
        <v>0</v>
      </c>
      <c r="K576" s="387" t="n">
        <f aca="false">K575-I576-L576-M576</f>
        <v>0</v>
      </c>
      <c r="L576" s="388"/>
      <c r="M576" s="389"/>
      <c r="N576" s="409"/>
      <c r="O576" s="409"/>
      <c r="P576" s="391" t="n">
        <f aca="false">IF(ISBLANK(L575),VALUE(P575),ROW(L575))</f>
        <v>10</v>
      </c>
      <c r="Q576" s="314" t="n">
        <f aca="false">Q575+P575-P576</f>
        <v>12</v>
      </c>
      <c r="R576" s="314" t="n">
        <f aca="false">INDEX(G:G,P576,1)</f>
        <v>69000</v>
      </c>
      <c r="S576" s="312"/>
    </row>
    <row r="577" s="379" customFormat="true" ht="14.9" hidden="true" customHeight="false" outlineLevel="0" collapsed="false">
      <c r="A577" s="403" t="n">
        <v>567</v>
      </c>
      <c r="B577" s="414"/>
      <c r="C577" s="413" t="n">
        <f aca="false">DATE(YEAR(C576),MONTH(C576)+1,DAY(C576))</f>
        <v>61118</v>
      </c>
      <c r="D577" s="383" t="n">
        <f aca="false">IF(R577*$D$4/100/12/(1-(1+$D$4/100/12)^(-Q577))&lt;G576,ROUNDUP(R577*$D$4/100/12/(1-(1+$D$4/100/12)^(-Q577)),0),G576+F577)</f>
        <v>0</v>
      </c>
      <c r="E577" s="384" t="n">
        <f aca="false">D577-F577</f>
        <v>0</v>
      </c>
      <c r="F577" s="384" t="n">
        <f aca="false">G576*$D$4*(C577-C576)/(DATE(YEAR(C577)+1,1,1)-DATE(YEAR(C577),1,1))/100</f>
        <v>0</v>
      </c>
      <c r="G577" s="385" t="n">
        <f aca="false">G576-E577-L577-M577</f>
        <v>0</v>
      </c>
      <c r="H577" s="386" t="n">
        <f aca="false">I577+J577</f>
        <v>0</v>
      </c>
      <c r="I577" s="384" t="n">
        <f aca="false">IF($D$3/$D$5&lt;K576,$D$3/$D$5,K576)</f>
        <v>0</v>
      </c>
      <c r="J577" s="384" t="n">
        <f aca="false">K576*$D$4/12/100</f>
        <v>0</v>
      </c>
      <c r="K577" s="387" t="n">
        <f aca="false">K576-I577-L577-M577</f>
        <v>0</v>
      </c>
      <c r="L577" s="388"/>
      <c r="M577" s="389"/>
      <c r="N577" s="409"/>
      <c r="O577" s="409"/>
      <c r="P577" s="391" t="n">
        <f aca="false">IF(ISBLANK(L576),VALUE(P576),ROW(L576))</f>
        <v>10</v>
      </c>
      <c r="Q577" s="314" t="n">
        <f aca="false">Q576+P576-P577</f>
        <v>12</v>
      </c>
      <c r="R577" s="314" t="n">
        <f aca="false">INDEX(G:G,P577,1)</f>
        <v>69000</v>
      </c>
      <c r="S577" s="312"/>
    </row>
    <row r="578" s="379" customFormat="true" ht="14.9" hidden="true" customHeight="false" outlineLevel="0" collapsed="false">
      <c r="A578" s="403" t="n">
        <v>568</v>
      </c>
      <c r="B578" s="414"/>
      <c r="C578" s="413" t="n">
        <f aca="false">DATE(YEAR(C577),MONTH(C577)+1,DAY(C577))</f>
        <v>61149</v>
      </c>
      <c r="D578" s="383" t="n">
        <f aca="false">IF(R578*$D$4/100/12/(1-(1+$D$4/100/12)^(-Q578))&lt;G577,ROUNDUP(R578*$D$4/100/12/(1-(1+$D$4/100/12)^(-Q578)),0),G577+F578)</f>
        <v>0</v>
      </c>
      <c r="E578" s="384" t="n">
        <f aca="false">D578-F578</f>
        <v>0</v>
      </c>
      <c r="F578" s="384" t="n">
        <f aca="false">G577*$D$4*(C578-C577)/(DATE(YEAR(C578)+1,1,1)-DATE(YEAR(C578),1,1))/100</f>
        <v>0</v>
      </c>
      <c r="G578" s="385" t="n">
        <f aca="false">G577-E578-L578-M578</f>
        <v>0</v>
      </c>
      <c r="H578" s="386" t="n">
        <f aca="false">I578+J578</f>
        <v>0</v>
      </c>
      <c r="I578" s="384" t="n">
        <f aca="false">IF($D$3/$D$5&lt;K577,$D$3/$D$5,K577)</f>
        <v>0</v>
      </c>
      <c r="J578" s="384" t="n">
        <f aca="false">K577*$D$4/12/100</f>
        <v>0</v>
      </c>
      <c r="K578" s="387" t="n">
        <f aca="false">K577-I578-L578-M578</f>
        <v>0</v>
      </c>
      <c r="L578" s="388"/>
      <c r="M578" s="389"/>
      <c r="N578" s="409"/>
      <c r="O578" s="409"/>
      <c r="P578" s="391" t="n">
        <f aca="false">IF(ISBLANK(L577),VALUE(P577),ROW(L577))</f>
        <v>10</v>
      </c>
      <c r="Q578" s="314" t="n">
        <f aca="false">Q577+P577-P578</f>
        <v>12</v>
      </c>
      <c r="R578" s="314" t="n">
        <f aca="false">INDEX(G:G,P578,1)</f>
        <v>69000</v>
      </c>
      <c r="S578" s="312"/>
    </row>
    <row r="579" s="379" customFormat="true" ht="14.9" hidden="true" customHeight="false" outlineLevel="0" collapsed="false">
      <c r="A579" s="403" t="n">
        <v>569</v>
      </c>
      <c r="B579" s="414"/>
      <c r="C579" s="413" t="n">
        <f aca="false">DATE(YEAR(C578),MONTH(C578)+1,DAY(C578))</f>
        <v>61179</v>
      </c>
      <c r="D579" s="383" t="n">
        <f aca="false">IF(R579*$D$4/100/12/(1-(1+$D$4/100/12)^(-Q579))&lt;G578,ROUNDUP(R579*$D$4/100/12/(1-(1+$D$4/100/12)^(-Q579)),0),G578+F579)</f>
        <v>0</v>
      </c>
      <c r="E579" s="384" t="n">
        <f aca="false">D579-F579</f>
        <v>0</v>
      </c>
      <c r="F579" s="384" t="n">
        <f aca="false">G578*$D$4*(C579-C578)/(DATE(YEAR(C579)+1,1,1)-DATE(YEAR(C579),1,1))/100</f>
        <v>0</v>
      </c>
      <c r="G579" s="385" t="n">
        <f aca="false">G578-E579-L579-M579</f>
        <v>0</v>
      </c>
      <c r="H579" s="386" t="n">
        <f aca="false">I579+J579</f>
        <v>0</v>
      </c>
      <c r="I579" s="384" t="n">
        <f aca="false">IF($D$3/$D$5&lt;K578,$D$3/$D$5,K578)</f>
        <v>0</v>
      </c>
      <c r="J579" s="384" t="n">
        <f aca="false">K578*$D$4/12/100</f>
        <v>0</v>
      </c>
      <c r="K579" s="387" t="n">
        <f aca="false">K578-I579-L579-M579</f>
        <v>0</v>
      </c>
      <c r="L579" s="388"/>
      <c r="M579" s="389"/>
      <c r="N579" s="409"/>
      <c r="O579" s="409"/>
      <c r="P579" s="391" t="n">
        <f aca="false">IF(ISBLANK(L578),VALUE(P578),ROW(L578))</f>
        <v>10</v>
      </c>
      <c r="Q579" s="314" t="n">
        <f aca="false">Q578+P578-P579</f>
        <v>12</v>
      </c>
      <c r="R579" s="314" t="n">
        <f aca="false">INDEX(G:G,P579,1)</f>
        <v>69000</v>
      </c>
      <c r="S579" s="312"/>
    </row>
    <row r="580" s="379" customFormat="true" ht="14.9" hidden="true" customHeight="false" outlineLevel="0" collapsed="false">
      <c r="A580" s="403" t="n">
        <v>570</v>
      </c>
      <c r="B580" s="414"/>
      <c r="C580" s="413" t="n">
        <f aca="false">DATE(YEAR(C579),MONTH(C579)+1,DAY(C579))</f>
        <v>61210</v>
      </c>
      <c r="D580" s="383" t="n">
        <f aca="false">IF(R580*$D$4/100/12/(1-(1+$D$4/100/12)^(-Q580))&lt;G579,ROUNDUP(R580*$D$4/100/12/(1-(1+$D$4/100/12)^(-Q580)),0),G579+F580)</f>
        <v>0</v>
      </c>
      <c r="E580" s="384" t="n">
        <f aca="false">D580-F580</f>
        <v>0</v>
      </c>
      <c r="F580" s="384" t="n">
        <f aca="false">G579*$D$4*(C580-C579)/(DATE(YEAR(C580)+1,1,1)-DATE(YEAR(C580),1,1))/100</f>
        <v>0</v>
      </c>
      <c r="G580" s="385" t="n">
        <f aca="false">G579-E580-L580-M580</f>
        <v>0</v>
      </c>
      <c r="H580" s="386" t="n">
        <f aca="false">I580+J580</f>
        <v>0</v>
      </c>
      <c r="I580" s="384" t="n">
        <f aca="false">IF($D$3/$D$5&lt;K579,$D$3/$D$5,K579)</f>
        <v>0</v>
      </c>
      <c r="J580" s="384" t="n">
        <f aca="false">K579*$D$4/12/100</f>
        <v>0</v>
      </c>
      <c r="K580" s="387" t="n">
        <f aca="false">K579-I580-L580-M580</f>
        <v>0</v>
      </c>
      <c r="L580" s="388"/>
      <c r="M580" s="389"/>
      <c r="N580" s="409"/>
      <c r="O580" s="409"/>
      <c r="P580" s="391" t="n">
        <f aca="false">IF(ISBLANK(L579),VALUE(P579),ROW(L579))</f>
        <v>10</v>
      </c>
      <c r="Q580" s="314" t="n">
        <f aca="false">Q579+P579-P580</f>
        <v>12</v>
      </c>
      <c r="R580" s="314" t="n">
        <f aca="false">INDEX(G:G,P580,1)</f>
        <v>69000</v>
      </c>
      <c r="S580" s="312"/>
    </row>
    <row r="581" s="379" customFormat="true" ht="14.9" hidden="true" customHeight="false" outlineLevel="0" collapsed="false">
      <c r="A581" s="403" t="n">
        <v>571</v>
      </c>
      <c r="B581" s="414"/>
      <c r="C581" s="413" t="n">
        <f aca="false">DATE(YEAR(C580),MONTH(C580)+1,DAY(C580))</f>
        <v>61241</v>
      </c>
      <c r="D581" s="383" t="n">
        <f aca="false">IF(R581*$D$4/100/12/(1-(1+$D$4/100/12)^(-Q581))&lt;G580,ROUNDUP(R581*$D$4/100/12/(1-(1+$D$4/100/12)^(-Q581)),0),G580+F581)</f>
        <v>0</v>
      </c>
      <c r="E581" s="384" t="n">
        <f aca="false">D581-F581</f>
        <v>0</v>
      </c>
      <c r="F581" s="384" t="n">
        <f aca="false">G580*$D$4*(C581-C580)/(DATE(YEAR(C581)+1,1,1)-DATE(YEAR(C581),1,1))/100</f>
        <v>0</v>
      </c>
      <c r="G581" s="385" t="n">
        <f aca="false">G580-E581-L581-M581</f>
        <v>0</v>
      </c>
      <c r="H581" s="386" t="n">
        <f aca="false">I581+J581</f>
        <v>0</v>
      </c>
      <c r="I581" s="384" t="n">
        <f aca="false">IF($D$3/$D$5&lt;K580,$D$3/$D$5,K580)</f>
        <v>0</v>
      </c>
      <c r="J581" s="384" t="n">
        <f aca="false">K580*$D$4/12/100</f>
        <v>0</v>
      </c>
      <c r="K581" s="387" t="n">
        <f aca="false">K580-I581-L581-M581</f>
        <v>0</v>
      </c>
      <c r="L581" s="388"/>
      <c r="M581" s="389"/>
      <c r="N581" s="409"/>
      <c r="O581" s="409"/>
      <c r="P581" s="391" t="n">
        <f aca="false">IF(ISBLANK(L580),VALUE(P580),ROW(L580))</f>
        <v>10</v>
      </c>
      <c r="Q581" s="314" t="n">
        <f aca="false">Q580+P580-P581</f>
        <v>12</v>
      </c>
      <c r="R581" s="314" t="n">
        <f aca="false">INDEX(G:G,P581,1)</f>
        <v>69000</v>
      </c>
      <c r="S581" s="312"/>
    </row>
    <row r="582" s="379" customFormat="true" ht="14.9" hidden="true" customHeight="false" outlineLevel="0" collapsed="false">
      <c r="A582" s="403" t="n">
        <v>572</v>
      </c>
      <c r="B582" s="414"/>
      <c r="C582" s="413" t="n">
        <f aca="false">DATE(YEAR(C581),MONTH(C581)+1,DAY(C581))</f>
        <v>61271</v>
      </c>
      <c r="D582" s="383" t="n">
        <f aca="false">IF(R582*$D$4/100/12/(1-(1+$D$4/100/12)^(-Q582))&lt;G581,ROUNDUP(R582*$D$4/100/12/(1-(1+$D$4/100/12)^(-Q582)),0),G581+F582)</f>
        <v>0</v>
      </c>
      <c r="E582" s="384" t="n">
        <f aca="false">D582-F582</f>
        <v>0</v>
      </c>
      <c r="F582" s="384" t="n">
        <f aca="false">G581*$D$4*(C582-C581)/(DATE(YEAR(C582)+1,1,1)-DATE(YEAR(C582),1,1))/100</f>
        <v>0</v>
      </c>
      <c r="G582" s="385" t="n">
        <f aca="false">G581-E582-L582-M582</f>
        <v>0</v>
      </c>
      <c r="H582" s="386" t="n">
        <f aca="false">I582+J582</f>
        <v>0</v>
      </c>
      <c r="I582" s="384" t="n">
        <f aca="false">IF($D$3/$D$5&lt;K581,$D$3/$D$5,K581)</f>
        <v>0</v>
      </c>
      <c r="J582" s="384" t="n">
        <f aca="false">K581*$D$4/12/100</f>
        <v>0</v>
      </c>
      <c r="K582" s="387" t="n">
        <f aca="false">K581-I582-L582-M582</f>
        <v>0</v>
      </c>
      <c r="L582" s="388"/>
      <c r="M582" s="389"/>
      <c r="N582" s="409"/>
      <c r="O582" s="409"/>
      <c r="P582" s="391" t="n">
        <f aca="false">IF(ISBLANK(L581),VALUE(P581),ROW(L581))</f>
        <v>10</v>
      </c>
      <c r="Q582" s="314" t="n">
        <f aca="false">Q581+P581-P582</f>
        <v>12</v>
      </c>
      <c r="R582" s="314" t="n">
        <f aca="false">INDEX(G:G,P582,1)</f>
        <v>69000</v>
      </c>
      <c r="S582" s="312"/>
    </row>
    <row r="583" s="379" customFormat="true" ht="14.9" hidden="true" customHeight="false" outlineLevel="0" collapsed="false">
      <c r="A583" s="403" t="n">
        <v>573</v>
      </c>
      <c r="B583" s="414"/>
      <c r="C583" s="413" t="n">
        <f aca="false">DATE(YEAR(C582),MONTH(C582)+1,DAY(C582))</f>
        <v>61302</v>
      </c>
      <c r="D583" s="383" t="n">
        <f aca="false">IF(R583*$D$4/100/12/(1-(1+$D$4/100/12)^(-Q583))&lt;G582,ROUNDUP(R583*$D$4/100/12/(1-(1+$D$4/100/12)^(-Q583)),0),G582+F583)</f>
        <v>0</v>
      </c>
      <c r="E583" s="384" t="n">
        <f aca="false">D583-F583</f>
        <v>0</v>
      </c>
      <c r="F583" s="384" t="n">
        <f aca="false">G582*$D$4*(C583-C582)/(DATE(YEAR(C583)+1,1,1)-DATE(YEAR(C583),1,1))/100</f>
        <v>0</v>
      </c>
      <c r="G583" s="385" t="n">
        <f aca="false">G582-E583-L583-M583</f>
        <v>0</v>
      </c>
      <c r="H583" s="386" t="n">
        <f aca="false">I583+J583</f>
        <v>0</v>
      </c>
      <c r="I583" s="384" t="n">
        <f aca="false">IF($D$3/$D$5&lt;K582,$D$3/$D$5,K582)</f>
        <v>0</v>
      </c>
      <c r="J583" s="384" t="n">
        <f aca="false">K582*$D$4/12/100</f>
        <v>0</v>
      </c>
      <c r="K583" s="387" t="n">
        <f aca="false">K582-I583-L583-M583</f>
        <v>0</v>
      </c>
      <c r="L583" s="388"/>
      <c r="M583" s="389"/>
      <c r="N583" s="409"/>
      <c r="O583" s="409"/>
      <c r="P583" s="391" t="n">
        <f aca="false">IF(ISBLANK(L582),VALUE(P582),ROW(L582))</f>
        <v>10</v>
      </c>
      <c r="Q583" s="314" t="n">
        <f aca="false">Q582+P582-P583</f>
        <v>12</v>
      </c>
      <c r="R583" s="314" t="n">
        <f aca="false">INDEX(G:G,P583,1)</f>
        <v>69000</v>
      </c>
      <c r="S583" s="312"/>
    </row>
    <row r="584" s="379" customFormat="true" ht="14.9" hidden="true" customHeight="false" outlineLevel="0" collapsed="false">
      <c r="A584" s="403" t="n">
        <v>574</v>
      </c>
      <c r="B584" s="414"/>
      <c r="C584" s="413" t="n">
        <f aca="false">DATE(YEAR(C583),MONTH(C583)+1,DAY(C583))</f>
        <v>61332</v>
      </c>
      <c r="D584" s="383" t="n">
        <f aca="false">IF(R584*$D$4/100/12/(1-(1+$D$4/100/12)^(-Q584))&lt;G583,ROUNDUP(R584*$D$4/100/12/(1-(1+$D$4/100/12)^(-Q584)),0),G583+F584)</f>
        <v>0</v>
      </c>
      <c r="E584" s="384" t="n">
        <f aca="false">D584-F584</f>
        <v>0</v>
      </c>
      <c r="F584" s="384" t="n">
        <f aca="false">G583*$D$4*(C584-C583)/(DATE(YEAR(C584)+1,1,1)-DATE(YEAR(C584),1,1))/100</f>
        <v>0</v>
      </c>
      <c r="G584" s="385" t="n">
        <f aca="false">G583-E584-L584-M584</f>
        <v>0</v>
      </c>
      <c r="H584" s="386" t="n">
        <f aca="false">I584+J584</f>
        <v>0</v>
      </c>
      <c r="I584" s="384" t="n">
        <f aca="false">IF($D$3/$D$5&lt;K583,$D$3/$D$5,K583)</f>
        <v>0</v>
      </c>
      <c r="J584" s="384" t="n">
        <f aca="false">K583*$D$4/12/100</f>
        <v>0</v>
      </c>
      <c r="K584" s="387" t="n">
        <f aca="false">K583-I584-L584-M584</f>
        <v>0</v>
      </c>
      <c r="L584" s="388"/>
      <c r="M584" s="389"/>
      <c r="N584" s="409"/>
      <c r="O584" s="409"/>
      <c r="P584" s="391" t="n">
        <f aca="false">IF(ISBLANK(L583),VALUE(P583),ROW(L583))</f>
        <v>10</v>
      </c>
      <c r="Q584" s="314" t="n">
        <f aca="false">Q583+P583-P584</f>
        <v>12</v>
      </c>
      <c r="R584" s="314" t="n">
        <f aca="false">INDEX(G:G,P584,1)</f>
        <v>69000</v>
      </c>
      <c r="S584" s="312"/>
    </row>
    <row r="585" s="379" customFormat="true" ht="14.9" hidden="true" customHeight="false" outlineLevel="0" collapsed="false">
      <c r="A585" s="403" t="n">
        <v>575</v>
      </c>
      <c r="B585" s="414"/>
      <c r="C585" s="413" t="n">
        <f aca="false">DATE(YEAR(C584),MONTH(C584)+1,DAY(C584))</f>
        <v>61363</v>
      </c>
      <c r="D585" s="383" t="n">
        <f aca="false">IF(R585*$D$4/100/12/(1-(1+$D$4/100/12)^(-Q585))&lt;G584,ROUNDUP(R585*$D$4/100/12/(1-(1+$D$4/100/12)^(-Q585)),0),G584+F585)</f>
        <v>0</v>
      </c>
      <c r="E585" s="384" t="n">
        <f aca="false">D585-F585</f>
        <v>0</v>
      </c>
      <c r="F585" s="384" t="n">
        <f aca="false">G584*$D$4*(C585-C584)/(DATE(YEAR(C585)+1,1,1)-DATE(YEAR(C585),1,1))/100</f>
        <v>0</v>
      </c>
      <c r="G585" s="385" t="n">
        <f aca="false">G584-E585-L585-M585</f>
        <v>0</v>
      </c>
      <c r="H585" s="386" t="n">
        <f aca="false">I585+J585</f>
        <v>0</v>
      </c>
      <c r="I585" s="384" t="n">
        <f aca="false">IF($D$3/$D$5&lt;K584,$D$3/$D$5,K584)</f>
        <v>0</v>
      </c>
      <c r="J585" s="384" t="n">
        <f aca="false">K584*$D$4/12/100</f>
        <v>0</v>
      </c>
      <c r="K585" s="387" t="n">
        <f aca="false">K584-I585-L585-M585</f>
        <v>0</v>
      </c>
      <c r="L585" s="388"/>
      <c r="M585" s="389"/>
      <c r="N585" s="409"/>
      <c r="O585" s="409"/>
      <c r="P585" s="391" t="n">
        <f aca="false">IF(ISBLANK(L584),VALUE(P584),ROW(L584))</f>
        <v>10</v>
      </c>
      <c r="Q585" s="314" t="n">
        <f aca="false">Q584+P584-P585</f>
        <v>12</v>
      </c>
      <c r="R585" s="314" t="n">
        <f aca="false">INDEX(G:G,P585,1)</f>
        <v>69000</v>
      </c>
      <c r="S585" s="312"/>
    </row>
    <row r="586" s="379" customFormat="true" ht="14.9" hidden="true" customHeight="false" outlineLevel="0" collapsed="false">
      <c r="A586" s="404" t="n">
        <v>576</v>
      </c>
      <c r="B586" s="414"/>
      <c r="C586" s="413" t="n">
        <f aca="false">DATE(YEAR(C585),MONTH(C585)+1,DAY(C585))</f>
        <v>61394</v>
      </c>
      <c r="D586" s="383" t="n">
        <f aca="false">IF(R586*$D$4/100/12/(1-(1+$D$4/100/12)^(-Q586))&lt;G585,ROUNDUP(R586*$D$4/100/12/(1-(1+$D$4/100/12)^(-Q586)),0),G585+F586)</f>
        <v>0</v>
      </c>
      <c r="E586" s="395" t="n">
        <f aca="false">D586-F586</f>
        <v>0</v>
      </c>
      <c r="F586" s="384" t="n">
        <f aca="false">G585*$D$4*(C586-C585)/(DATE(YEAR(C586)+1,1,1)-DATE(YEAR(C586),1,1))/100</f>
        <v>0</v>
      </c>
      <c r="G586" s="405" t="n">
        <f aca="false">G585-E586-L586-M586</f>
        <v>0</v>
      </c>
      <c r="H586" s="406" t="n">
        <f aca="false">I586+J586</f>
        <v>0</v>
      </c>
      <c r="I586" s="395" t="n">
        <f aca="false">IF($D$3/$D$5&lt;K585,$D$3/$D$5,K585)</f>
        <v>0</v>
      </c>
      <c r="J586" s="395" t="n">
        <f aca="false">K585*$D$4/12/100</f>
        <v>0</v>
      </c>
      <c r="K586" s="407" t="n">
        <f aca="false">K585-I586-L586-M586</f>
        <v>0</v>
      </c>
      <c r="L586" s="408"/>
      <c r="M586" s="410"/>
      <c r="N586" s="409"/>
      <c r="O586" s="409"/>
      <c r="P586" s="391" t="n">
        <f aca="false">IF(ISBLANK(L585),VALUE(P585),ROW(L585))</f>
        <v>10</v>
      </c>
      <c r="Q586" s="314" t="n">
        <f aca="false">Q585+P585-P586</f>
        <v>12</v>
      </c>
      <c r="R586" s="314" t="n">
        <f aca="false">INDEX(G:G,P586,1)</f>
        <v>69000</v>
      </c>
      <c r="S586" s="312"/>
    </row>
    <row r="587" s="379" customFormat="true" ht="14.9" hidden="true" customHeight="false" outlineLevel="0" collapsed="false">
      <c r="A587" s="380" t="n">
        <v>577</v>
      </c>
      <c r="B587" s="412"/>
      <c r="C587" s="413" t="n">
        <f aca="false">DATE(YEAR(C586),MONTH(C586)+1,DAY(C586))</f>
        <v>61423</v>
      </c>
      <c r="D587" s="383" t="n">
        <f aca="false">IF(R587*$D$4/100/12/(1-(1+$D$4/100/12)^(-Q587))&lt;G586,ROUNDUP(R587*$D$4/100/12/(1-(1+$D$4/100/12)^(-Q587)),0),G586+F587)</f>
        <v>0</v>
      </c>
      <c r="E587" s="384" t="n">
        <f aca="false">D587-F587</f>
        <v>0</v>
      </c>
      <c r="F587" s="384" t="n">
        <f aca="false">G586*$D$4*(C587-C586)/(DATE(YEAR(C587)+1,1,1)-DATE(YEAR(C587),1,1))/100</f>
        <v>0</v>
      </c>
      <c r="G587" s="385" t="n">
        <f aca="false">G586-E587-L587-M587</f>
        <v>0</v>
      </c>
      <c r="H587" s="386" t="n">
        <f aca="false">I587+J587</f>
        <v>0</v>
      </c>
      <c r="I587" s="384" t="n">
        <f aca="false">IF($D$3/$D$5&lt;K586,$D$3/$D$5,K586)</f>
        <v>0</v>
      </c>
      <c r="J587" s="384" t="n">
        <f aca="false">K586*$D$4/12/100</f>
        <v>0</v>
      </c>
      <c r="K587" s="387" t="n">
        <f aca="false">K586-I587-L587-M587</f>
        <v>0</v>
      </c>
      <c r="L587" s="388"/>
      <c r="M587" s="389"/>
      <c r="N587" s="409"/>
      <c r="O587" s="409"/>
      <c r="P587" s="391" t="n">
        <f aca="false">IF(ISBLANK(L586),VALUE(P586),ROW(L586))</f>
        <v>10</v>
      </c>
      <c r="Q587" s="314" t="n">
        <f aca="false">Q586+P586-P587</f>
        <v>12</v>
      </c>
      <c r="R587" s="314" t="n">
        <f aca="false">INDEX(G:G,P587,1)</f>
        <v>69000</v>
      </c>
      <c r="S587" s="312"/>
    </row>
    <row r="588" s="379" customFormat="true" ht="14.9" hidden="true" customHeight="false" outlineLevel="0" collapsed="false">
      <c r="A588" s="380" t="n">
        <v>578</v>
      </c>
      <c r="B588" s="412"/>
      <c r="C588" s="413" t="n">
        <f aca="false">DATE(YEAR(C587),MONTH(C587)+1,DAY(C587))</f>
        <v>61454</v>
      </c>
      <c r="D588" s="383" t="n">
        <f aca="false">IF(R588*$D$4/100/12/(1-(1+$D$4/100/12)^(-Q588))&lt;G587,ROUNDUP(R588*$D$4/100/12/(1-(1+$D$4/100/12)^(-Q588)),0),G587+F588)</f>
        <v>0</v>
      </c>
      <c r="E588" s="384" t="n">
        <f aca="false">D588-F588</f>
        <v>0</v>
      </c>
      <c r="F588" s="384" t="n">
        <f aca="false">G587*$D$4*(C588-C587)/(DATE(YEAR(C588)+1,1,1)-DATE(YEAR(C588),1,1))/100</f>
        <v>0</v>
      </c>
      <c r="G588" s="385" t="n">
        <f aca="false">G587-E588-L588-M588</f>
        <v>0</v>
      </c>
      <c r="H588" s="386" t="n">
        <f aca="false">I588+J588</f>
        <v>0</v>
      </c>
      <c r="I588" s="384" t="n">
        <f aca="false">IF($D$3/$D$5&lt;K587,$D$3/$D$5,K587)</f>
        <v>0</v>
      </c>
      <c r="J588" s="384" t="n">
        <f aca="false">K587*$D$4/12/100</f>
        <v>0</v>
      </c>
      <c r="K588" s="387" t="n">
        <f aca="false">K587-I588-L588-M588</f>
        <v>0</v>
      </c>
      <c r="L588" s="388"/>
      <c r="M588" s="389"/>
      <c r="N588" s="409"/>
      <c r="O588" s="409"/>
      <c r="P588" s="391" t="n">
        <f aca="false">IF(ISBLANK(L587),VALUE(P587),ROW(L587))</f>
        <v>10</v>
      </c>
      <c r="Q588" s="314" t="n">
        <f aca="false">Q587+P587-P588</f>
        <v>12</v>
      </c>
      <c r="R588" s="314" t="n">
        <f aca="false">INDEX(G:G,P588,1)</f>
        <v>69000</v>
      </c>
      <c r="S588" s="312"/>
    </row>
    <row r="589" s="379" customFormat="true" ht="14.9" hidden="true" customHeight="false" outlineLevel="0" collapsed="false">
      <c r="A589" s="380" t="n">
        <v>579</v>
      </c>
      <c r="B589" s="412"/>
      <c r="C589" s="413" t="n">
        <f aca="false">DATE(YEAR(C588),MONTH(C588)+1,DAY(C588))</f>
        <v>61484</v>
      </c>
      <c r="D589" s="383" t="n">
        <f aca="false">IF(R589*$D$4/100/12/(1-(1+$D$4/100/12)^(-Q589))&lt;G588,ROUNDUP(R589*$D$4/100/12/(1-(1+$D$4/100/12)^(-Q589)),0),G588+F589)</f>
        <v>0</v>
      </c>
      <c r="E589" s="384" t="n">
        <f aca="false">D589-F589</f>
        <v>0</v>
      </c>
      <c r="F589" s="384" t="n">
        <f aca="false">G588*$D$4*(C589-C588)/(DATE(YEAR(C589)+1,1,1)-DATE(YEAR(C589),1,1))/100</f>
        <v>0</v>
      </c>
      <c r="G589" s="385" t="n">
        <f aca="false">G588-E589-L589-M589</f>
        <v>0</v>
      </c>
      <c r="H589" s="386" t="n">
        <f aca="false">I589+J589</f>
        <v>0</v>
      </c>
      <c r="I589" s="384" t="n">
        <f aca="false">IF($D$3/$D$5&lt;K588,$D$3/$D$5,K588)</f>
        <v>0</v>
      </c>
      <c r="J589" s="384" t="n">
        <f aca="false">K588*$D$4/12/100</f>
        <v>0</v>
      </c>
      <c r="K589" s="387" t="n">
        <f aca="false">K588-I589-L589-M589</f>
        <v>0</v>
      </c>
      <c r="L589" s="388"/>
      <c r="M589" s="389"/>
      <c r="N589" s="409"/>
      <c r="O589" s="409"/>
      <c r="P589" s="391" t="n">
        <f aca="false">IF(ISBLANK(L588),VALUE(P588),ROW(L588))</f>
        <v>10</v>
      </c>
      <c r="Q589" s="314" t="n">
        <f aca="false">Q588+P588-P589</f>
        <v>12</v>
      </c>
      <c r="R589" s="314" t="n">
        <f aca="false">INDEX(G:G,P589,1)</f>
        <v>69000</v>
      </c>
      <c r="S589" s="312"/>
    </row>
    <row r="590" s="379" customFormat="true" ht="14.9" hidden="true" customHeight="false" outlineLevel="0" collapsed="false">
      <c r="A590" s="380" t="n">
        <v>580</v>
      </c>
      <c r="B590" s="412"/>
      <c r="C590" s="413" t="n">
        <f aca="false">DATE(YEAR(C589),MONTH(C589)+1,DAY(C589))</f>
        <v>61515</v>
      </c>
      <c r="D590" s="383" t="n">
        <f aca="false">IF(R590*$D$4/100/12/(1-(1+$D$4/100/12)^(-Q590))&lt;G589,ROUNDUP(R590*$D$4/100/12/(1-(1+$D$4/100/12)^(-Q590)),0),G589+F590)</f>
        <v>0</v>
      </c>
      <c r="E590" s="384" t="n">
        <f aca="false">D590-F590</f>
        <v>0</v>
      </c>
      <c r="F590" s="384" t="n">
        <f aca="false">G589*$D$4*(C590-C589)/(DATE(YEAR(C590)+1,1,1)-DATE(YEAR(C590),1,1))/100</f>
        <v>0</v>
      </c>
      <c r="G590" s="385" t="n">
        <f aca="false">G589-E590-L590-M590</f>
        <v>0</v>
      </c>
      <c r="H590" s="386" t="n">
        <f aca="false">I590+J590</f>
        <v>0</v>
      </c>
      <c r="I590" s="384" t="n">
        <f aca="false">IF($D$3/$D$5&lt;K589,$D$3/$D$5,K589)</f>
        <v>0</v>
      </c>
      <c r="J590" s="384" t="n">
        <f aca="false">K589*$D$4/12/100</f>
        <v>0</v>
      </c>
      <c r="K590" s="387" t="n">
        <f aca="false">K589-I590-L590-M590</f>
        <v>0</v>
      </c>
      <c r="L590" s="388"/>
      <c r="M590" s="389"/>
      <c r="N590" s="409"/>
      <c r="O590" s="409"/>
      <c r="P590" s="391" t="n">
        <f aca="false">IF(ISBLANK(L589),VALUE(P589),ROW(L589))</f>
        <v>10</v>
      </c>
      <c r="Q590" s="314" t="n">
        <f aca="false">Q589+P589-P590</f>
        <v>12</v>
      </c>
      <c r="R590" s="314" t="n">
        <f aca="false">INDEX(G:G,P590,1)</f>
        <v>69000</v>
      </c>
      <c r="S590" s="312"/>
    </row>
    <row r="591" s="379" customFormat="true" ht="14.9" hidden="true" customHeight="false" outlineLevel="0" collapsed="false">
      <c r="A591" s="380" t="n">
        <v>581</v>
      </c>
      <c r="B591" s="412"/>
      <c r="C591" s="413" t="n">
        <f aca="false">DATE(YEAR(C590),MONTH(C590)+1,DAY(C590))</f>
        <v>61545</v>
      </c>
      <c r="D591" s="383" t="n">
        <f aca="false">IF(R591*$D$4/100/12/(1-(1+$D$4/100/12)^(-Q591))&lt;G590,ROUNDUP(R591*$D$4/100/12/(1-(1+$D$4/100/12)^(-Q591)),0),G590+F591)</f>
        <v>0</v>
      </c>
      <c r="E591" s="384" t="n">
        <f aca="false">D591-F591</f>
        <v>0</v>
      </c>
      <c r="F591" s="384" t="n">
        <f aca="false">G590*$D$4*(C591-C590)/(DATE(YEAR(C591)+1,1,1)-DATE(YEAR(C591),1,1))/100</f>
        <v>0</v>
      </c>
      <c r="G591" s="385" t="n">
        <f aca="false">G590-E591-L591-M591</f>
        <v>0</v>
      </c>
      <c r="H591" s="386" t="n">
        <f aca="false">I591+J591</f>
        <v>0</v>
      </c>
      <c r="I591" s="384" t="n">
        <f aca="false">IF($D$3/$D$5&lt;K590,$D$3/$D$5,K590)</f>
        <v>0</v>
      </c>
      <c r="J591" s="384" t="n">
        <f aca="false">K590*$D$4/12/100</f>
        <v>0</v>
      </c>
      <c r="K591" s="387" t="n">
        <f aca="false">K590-I591-L591-M591</f>
        <v>0</v>
      </c>
      <c r="L591" s="388"/>
      <c r="M591" s="389"/>
      <c r="N591" s="409"/>
      <c r="O591" s="409"/>
      <c r="P591" s="391" t="n">
        <f aca="false">IF(ISBLANK(L590),VALUE(P590),ROW(L590))</f>
        <v>10</v>
      </c>
      <c r="Q591" s="314" t="n">
        <f aca="false">Q590+P590-P591</f>
        <v>12</v>
      </c>
      <c r="R591" s="314" t="n">
        <f aca="false">INDEX(G:G,P591,1)</f>
        <v>69000</v>
      </c>
      <c r="S591" s="312"/>
    </row>
    <row r="592" s="379" customFormat="true" ht="14.9" hidden="true" customHeight="false" outlineLevel="0" collapsed="false">
      <c r="A592" s="380" t="n">
        <v>582</v>
      </c>
      <c r="B592" s="412"/>
      <c r="C592" s="413" t="n">
        <f aca="false">DATE(YEAR(C591),MONTH(C591)+1,DAY(C591))</f>
        <v>61576</v>
      </c>
      <c r="D592" s="383" t="n">
        <f aca="false">IF(R592*$D$4/100/12/(1-(1+$D$4/100/12)^(-Q592))&lt;G591,ROUNDUP(R592*$D$4/100/12/(1-(1+$D$4/100/12)^(-Q592)),0),G591+F592)</f>
        <v>0</v>
      </c>
      <c r="E592" s="384" t="n">
        <f aca="false">D592-F592</f>
        <v>0</v>
      </c>
      <c r="F592" s="384" t="n">
        <f aca="false">G591*$D$4*(C592-C591)/(DATE(YEAR(C592)+1,1,1)-DATE(YEAR(C592),1,1))/100</f>
        <v>0</v>
      </c>
      <c r="G592" s="385" t="n">
        <f aca="false">G591-E592-L592-M592</f>
        <v>0</v>
      </c>
      <c r="H592" s="386" t="n">
        <f aca="false">I592+J592</f>
        <v>0</v>
      </c>
      <c r="I592" s="384" t="n">
        <f aca="false">IF($D$3/$D$5&lt;K591,$D$3/$D$5,K591)</f>
        <v>0</v>
      </c>
      <c r="J592" s="384" t="n">
        <f aca="false">K591*$D$4/12/100</f>
        <v>0</v>
      </c>
      <c r="K592" s="387" t="n">
        <f aca="false">K591-I592-L592-M592</f>
        <v>0</v>
      </c>
      <c r="L592" s="388"/>
      <c r="M592" s="389"/>
      <c r="N592" s="409"/>
      <c r="O592" s="409"/>
      <c r="P592" s="391" t="n">
        <f aca="false">IF(ISBLANK(L591),VALUE(P591),ROW(L591))</f>
        <v>10</v>
      </c>
      <c r="Q592" s="314" t="n">
        <f aca="false">Q591+P591-P592</f>
        <v>12</v>
      </c>
      <c r="R592" s="314" t="n">
        <f aca="false">INDEX(G:G,P592,1)</f>
        <v>69000</v>
      </c>
      <c r="S592" s="312"/>
    </row>
    <row r="593" s="379" customFormat="true" ht="14.9" hidden="true" customHeight="false" outlineLevel="0" collapsed="false">
      <c r="A593" s="380" t="n">
        <v>583</v>
      </c>
      <c r="B593" s="412"/>
      <c r="C593" s="413" t="n">
        <f aca="false">DATE(YEAR(C592),MONTH(C592)+1,DAY(C592))</f>
        <v>61607</v>
      </c>
      <c r="D593" s="383" t="n">
        <f aca="false">IF(R593*$D$4/100/12/(1-(1+$D$4/100/12)^(-Q593))&lt;G592,ROUNDUP(R593*$D$4/100/12/(1-(1+$D$4/100/12)^(-Q593)),0),G592+F593)</f>
        <v>0</v>
      </c>
      <c r="E593" s="384" t="n">
        <f aca="false">D593-F593</f>
        <v>0</v>
      </c>
      <c r="F593" s="384" t="n">
        <f aca="false">G592*$D$4*(C593-C592)/(DATE(YEAR(C593)+1,1,1)-DATE(YEAR(C593),1,1))/100</f>
        <v>0</v>
      </c>
      <c r="G593" s="385" t="n">
        <f aca="false">G592-E593-L593-M593</f>
        <v>0</v>
      </c>
      <c r="H593" s="386" t="n">
        <f aca="false">I593+J593</f>
        <v>0</v>
      </c>
      <c r="I593" s="384" t="n">
        <f aca="false">IF($D$3/$D$5&lt;K592,$D$3/$D$5,K592)</f>
        <v>0</v>
      </c>
      <c r="J593" s="384" t="n">
        <f aca="false">K592*$D$4/12/100</f>
        <v>0</v>
      </c>
      <c r="K593" s="387" t="n">
        <f aca="false">K592-I593-L593-M593</f>
        <v>0</v>
      </c>
      <c r="L593" s="388"/>
      <c r="M593" s="389"/>
      <c r="N593" s="409"/>
      <c r="O593" s="409"/>
      <c r="P593" s="391" t="n">
        <f aca="false">IF(ISBLANK(L592),VALUE(P592),ROW(L592))</f>
        <v>10</v>
      </c>
      <c r="Q593" s="314" t="n">
        <f aca="false">Q592+P592-P593</f>
        <v>12</v>
      </c>
      <c r="R593" s="314" t="n">
        <f aca="false">INDEX(G:G,P593,1)</f>
        <v>69000</v>
      </c>
      <c r="S593" s="312"/>
    </row>
    <row r="594" s="379" customFormat="true" ht="14.9" hidden="true" customHeight="false" outlineLevel="0" collapsed="false">
      <c r="A594" s="380" t="n">
        <v>584</v>
      </c>
      <c r="B594" s="412"/>
      <c r="C594" s="413" t="n">
        <f aca="false">DATE(YEAR(C593),MONTH(C593)+1,DAY(C593))</f>
        <v>61637</v>
      </c>
      <c r="D594" s="383" t="n">
        <f aca="false">IF(R594*$D$4/100/12/(1-(1+$D$4/100/12)^(-Q594))&lt;G593,ROUNDUP(R594*$D$4/100/12/(1-(1+$D$4/100/12)^(-Q594)),0),G593+F594)</f>
        <v>0</v>
      </c>
      <c r="E594" s="384" t="n">
        <f aca="false">D594-F594</f>
        <v>0</v>
      </c>
      <c r="F594" s="384" t="n">
        <f aca="false">G593*$D$4*(C594-C593)/(DATE(YEAR(C594)+1,1,1)-DATE(YEAR(C594),1,1))/100</f>
        <v>0</v>
      </c>
      <c r="G594" s="385" t="n">
        <f aca="false">G593-E594-L594-M594</f>
        <v>0</v>
      </c>
      <c r="H594" s="386" t="n">
        <f aca="false">I594+J594</f>
        <v>0</v>
      </c>
      <c r="I594" s="384" t="n">
        <f aca="false">IF($D$3/$D$5&lt;K593,$D$3/$D$5,K593)</f>
        <v>0</v>
      </c>
      <c r="J594" s="384" t="n">
        <f aca="false">K593*$D$4/12/100</f>
        <v>0</v>
      </c>
      <c r="K594" s="387" t="n">
        <f aca="false">K593-I594-L594-M594</f>
        <v>0</v>
      </c>
      <c r="L594" s="388"/>
      <c r="M594" s="389"/>
      <c r="N594" s="409"/>
      <c r="O594" s="409"/>
      <c r="P594" s="391" t="n">
        <f aca="false">IF(ISBLANK(L593),VALUE(P593),ROW(L593))</f>
        <v>10</v>
      </c>
      <c r="Q594" s="314" t="n">
        <f aca="false">Q593+P593-P594</f>
        <v>12</v>
      </c>
      <c r="R594" s="314" t="n">
        <f aca="false">INDEX(G:G,P594,1)</f>
        <v>69000</v>
      </c>
      <c r="S594" s="312"/>
    </row>
    <row r="595" s="379" customFormat="true" ht="14.9" hidden="true" customHeight="false" outlineLevel="0" collapsed="false">
      <c r="A595" s="380" t="n">
        <v>585</v>
      </c>
      <c r="B595" s="412"/>
      <c r="C595" s="413" t="n">
        <f aca="false">DATE(YEAR(C594),MONTH(C594)+1,DAY(C594))</f>
        <v>61668</v>
      </c>
      <c r="D595" s="383" t="n">
        <f aca="false">IF(R595*$D$4/100/12/(1-(1+$D$4/100/12)^(-Q595))&lt;G594,ROUNDUP(R595*$D$4/100/12/(1-(1+$D$4/100/12)^(-Q595)),0),G594+F595)</f>
        <v>0</v>
      </c>
      <c r="E595" s="384" t="n">
        <f aca="false">D595-F595</f>
        <v>0</v>
      </c>
      <c r="F595" s="384" t="n">
        <f aca="false">G594*$D$4*(C595-C594)/(DATE(YEAR(C595)+1,1,1)-DATE(YEAR(C595),1,1))/100</f>
        <v>0</v>
      </c>
      <c r="G595" s="385" t="n">
        <f aca="false">G594-E595-L595-M595</f>
        <v>0</v>
      </c>
      <c r="H595" s="386" t="n">
        <f aca="false">I595+J595</f>
        <v>0</v>
      </c>
      <c r="I595" s="384" t="n">
        <f aca="false">IF($D$3/$D$5&lt;K594,$D$3/$D$5,K594)</f>
        <v>0</v>
      </c>
      <c r="J595" s="384" t="n">
        <f aca="false">K594*$D$4/12/100</f>
        <v>0</v>
      </c>
      <c r="K595" s="387" t="n">
        <f aca="false">K594-I595-L595-M595</f>
        <v>0</v>
      </c>
      <c r="L595" s="388"/>
      <c r="M595" s="389"/>
      <c r="N595" s="409"/>
      <c r="O595" s="409"/>
      <c r="P595" s="391" t="n">
        <f aca="false">IF(ISBLANK(L594),VALUE(P594),ROW(L594))</f>
        <v>10</v>
      </c>
      <c r="Q595" s="314" t="n">
        <f aca="false">Q594+P594-P595</f>
        <v>12</v>
      </c>
      <c r="R595" s="314" t="n">
        <f aca="false">INDEX(G:G,P595,1)</f>
        <v>69000</v>
      </c>
      <c r="S595" s="312"/>
    </row>
    <row r="596" s="379" customFormat="true" ht="14.9" hidden="true" customHeight="false" outlineLevel="0" collapsed="false">
      <c r="A596" s="380" t="n">
        <v>586</v>
      </c>
      <c r="B596" s="412"/>
      <c r="C596" s="413" t="n">
        <f aca="false">DATE(YEAR(C595),MONTH(C595)+1,DAY(C595))</f>
        <v>61698</v>
      </c>
      <c r="D596" s="383" t="n">
        <f aca="false">IF(R596*$D$4/100/12/(1-(1+$D$4/100/12)^(-Q596))&lt;G595,ROUNDUP(R596*$D$4/100/12/(1-(1+$D$4/100/12)^(-Q596)),0),G595+F596)</f>
        <v>0</v>
      </c>
      <c r="E596" s="384" t="n">
        <f aca="false">D596-F596</f>
        <v>0</v>
      </c>
      <c r="F596" s="384" t="n">
        <f aca="false">G595*$D$4*(C596-C595)/(DATE(YEAR(C596)+1,1,1)-DATE(YEAR(C596),1,1))/100</f>
        <v>0</v>
      </c>
      <c r="G596" s="385" t="n">
        <f aca="false">G595-E596-L596-M596</f>
        <v>0</v>
      </c>
      <c r="H596" s="386" t="n">
        <f aca="false">I596+J596</f>
        <v>0</v>
      </c>
      <c r="I596" s="384" t="n">
        <f aca="false">IF($D$3/$D$5&lt;K595,$D$3/$D$5,K595)</f>
        <v>0</v>
      </c>
      <c r="J596" s="384" t="n">
        <f aca="false">K595*$D$4/12/100</f>
        <v>0</v>
      </c>
      <c r="K596" s="387" t="n">
        <f aca="false">K595-I596-L596-M596</f>
        <v>0</v>
      </c>
      <c r="L596" s="388"/>
      <c r="M596" s="389"/>
      <c r="N596" s="409"/>
      <c r="O596" s="409"/>
      <c r="P596" s="391" t="n">
        <f aca="false">IF(ISBLANK(L595),VALUE(P595),ROW(L595))</f>
        <v>10</v>
      </c>
      <c r="Q596" s="314" t="n">
        <f aca="false">Q595+P595-P596</f>
        <v>12</v>
      </c>
      <c r="R596" s="314" t="n">
        <f aca="false">INDEX(G:G,P596,1)</f>
        <v>69000</v>
      </c>
      <c r="S596" s="312"/>
    </row>
    <row r="597" s="379" customFormat="true" ht="14.9" hidden="true" customHeight="false" outlineLevel="0" collapsed="false">
      <c r="A597" s="380" t="n">
        <v>587</v>
      </c>
      <c r="B597" s="412"/>
      <c r="C597" s="413" t="n">
        <f aca="false">DATE(YEAR(C596),MONTH(C596)+1,DAY(C596))</f>
        <v>61729</v>
      </c>
      <c r="D597" s="383" t="n">
        <f aca="false">IF(R597*$D$4/100/12/(1-(1+$D$4/100/12)^(-Q597))&lt;G596,ROUNDUP(R597*$D$4/100/12/(1-(1+$D$4/100/12)^(-Q597)),0),G596+F597)</f>
        <v>0</v>
      </c>
      <c r="E597" s="384" t="n">
        <f aca="false">D597-F597</f>
        <v>0</v>
      </c>
      <c r="F597" s="384" t="n">
        <f aca="false">G596*$D$4*(C597-C596)/(DATE(YEAR(C597)+1,1,1)-DATE(YEAR(C597),1,1))/100</f>
        <v>0</v>
      </c>
      <c r="G597" s="385" t="n">
        <f aca="false">G596-E597-L597-M597</f>
        <v>0</v>
      </c>
      <c r="H597" s="386" t="n">
        <f aca="false">I597+J597</f>
        <v>0</v>
      </c>
      <c r="I597" s="384" t="n">
        <f aca="false">IF($D$3/$D$5&lt;K596,$D$3/$D$5,K596)</f>
        <v>0</v>
      </c>
      <c r="J597" s="384" t="n">
        <f aca="false">K596*$D$4/12/100</f>
        <v>0</v>
      </c>
      <c r="K597" s="387" t="n">
        <f aca="false">K596-I597-L597-M597</f>
        <v>0</v>
      </c>
      <c r="L597" s="388"/>
      <c r="M597" s="389"/>
      <c r="N597" s="409"/>
      <c r="O597" s="409"/>
      <c r="P597" s="391" t="n">
        <f aca="false">IF(ISBLANK(L596),VALUE(P596),ROW(L596))</f>
        <v>10</v>
      </c>
      <c r="Q597" s="314" t="n">
        <f aca="false">Q596+P596-P597</f>
        <v>12</v>
      </c>
      <c r="R597" s="314" t="n">
        <f aca="false">INDEX(G:G,P597,1)</f>
        <v>69000</v>
      </c>
      <c r="S597" s="312"/>
    </row>
    <row r="598" s="379" customFormat="true" ht="14.9" hidden="true" customHeight="false" outlineLevel="0" collapsed="false">
      <c r="A598" s="380" t="n">
        <v>588</v>
      </c>
      <c r="B598" s="412"/>
      <c r="C598" s="413" t="n">
        <f aca="false">DATE(YEAR(C597),MONTH(C597)+1,DAY(C597))</f>
        <v>61760</v>
      </c>
      <c r="D598" s="383" t="n">
        <f aca="false">IF(R598*$D$4/100/12/(1-(1+$D$4/100/12)^(-Q598))&lt;G597,ROUNDUP(R598*$D$4/100/12/(1-(1+$D$4/100/12)^(-Q598)),0),G597+F598)</f>
        <v>0</v>
      </c>
      <c r="E598" s="384" t="n">
        <f aca="false">D598-F598</f>
        <v>0</v>
      </c>
      <c r="F598" s="384" t="n">
        <f aca="false">G597*$D$4*(C598-C597)/(DATE(YEAR(C598)+1,1,1)-DATE(YEAR(C598),1,1))/100</f>
        <v>0</v>
      </c>
      <c r="G598" s="385" t="n">
        <f aca="false">G597-E598-L598-M598</f>
        <v>0</v>
      </c>
      <c r="H598" s="386" t="n">
        <f aca="false">I598+J598</f>
        <v>0</v>
      </c>
      <c r="I598" s="384" t="n">
        <f aca="false">IF($D$3/$D$5&lt;K597,$D$3/$D$5,K597)</f>
        <v>0</v>
      </c>
      <c r="J598" s="384" t="n">
        <f aca="false">K597*$D$4/12/100</f>
        <v>0</v>
      </c>
      <c r="K598" s="387" t="n">
        <f aca="false">K597-I598-L598-M598</f>
        <v>0</v>
      </c>
      <c r="L598" s="388"/>
      <c r="M598" s="389"/>
      <c r="N598" s="409"/>
      <c r="O598" s="409"/>
      <c r="P598" s="391" t="n">
        <f aca="false">IF(ISBLANK(L597),VALUE(P597),ROW(L597))</f>
        <v>10</v>
      </c>
      <c r="Q598" s="314" t="n">
        <f aca="false">Q597+P597-P598</f>
        <v>12</v>
      </c>
      <c r="R598" s="314" t="n">
        <f aca="false">INDEX(G:G,P598,1)</f>
        <v>69000</v>
      </c>
      <c r="S598" s="312"/>
    </row>
    <row r="599" s="379" customFormat="true" ht="14.9" hidden="true" customHeight="false" outlineLevel="0" collapsed="false">
      <c r="A599" s="396" t="n">
        <v>589</v>
      </c>
      <c r="B599" s="414"/>
      <c r="C599" s="413" t="n">
        <f aca="false">DATE(YEAR(C598),MONTH(C598)+1,DAY(C598))</f>
        <v>61788</v>
      </c>
      <c r="D599" s="383" t="n">
        <f aca="false">IF(R599*$D$4/100/12/(1-(1+$D$4/100/12)^(-Q599))&lt;G598,ROUNDUP(R599*$D$4/100/12/(1-(1+$D$4/100/12)^(-Q599)),0),G598+F599)</f>
        <v>0</v>
      </c>
      <c r="E599" s="399" t="n">
        <f aca="false">D599-F599</f>
        <v>0</v>
      </c>
      <c r="F599" s="384" t="n">
        <f aca="false">G598*$D$4*(C599-C598)/(DATE(YEAR(C599)+1,1,1)-DATE(YEAR(C599),1,1))/100</f>
        <v>0</v>
      </c>
      <c r="G599" s="397" t="n">
        <f aca="false">G598-E599-L599-M599</f>
        <v>0</v>
      </c>
      <c r="H599" s="398" t="n">
        <f aca="false">I599+J599</f>
        <v>0</v>
      </c>
      <c r="I599" s="399" t="n">
        <f aca="false">IF($D$3/$D$5&lt;K598,$D$3/$D$5,K598)</f>
        <v>0</v>
      </c>
      <c r="J599" s="399" t="n">
        <f aca="false">K598*$D$4/12/100</f>
        <v>0</v>
      </c>
      <c r="K599" s="400" t="n">
        <f aca="false">K598-I599-L599-M599</f>
        <v>0</v>
      </c>
      <c r="L599" s="401"/>
      <c r="M599" s="402"/>
      <c r="N599" s="409"/>
      <c r="O599" s="409"/>
      <c r="P599" s="391" t="n">
        <f aca="false">IF(ISBLANK(L598),VALUE(P598),ROW(L598))</f>
        <v>10</v>
      </c>
      <c r="Q599" s="314" t="n">
        <f aca="false">Q598+P598-P599</f>
        <v>12</v>
      </c>
      <c r="R599" s="314" t="n">
        <f aca="false">INDEX(G:G,P599,1)</f>
        <v>69000</v>
      </c>
      <c r="S599" s="312"/>
    </row>
    <row r="600" s="379" customFormat="true" ht="14.9" hidden="true" customHeight="false" outlineLevel="0" collapsed="false">
      <c r="A600" s="403" t="n">
        <v>590</v>
      </c>
      <c r="B600" s="414"/>
      <c r="C600" s="413" t="n">
        <f aca="false">DATE(YEAR(C599),MONTH(C599)+1,DAY(C599))</f>
        <v>61819</v>
      </c>
      <c r="D600" s="383" t="n">
        <f aca="false">IF(R600*$D$4/100/12/(1-(1+$D$4/100/12)^(-Q600))&lt;G599,ROUNDUP(R600*$D$4/100/12/(1-(1+$D$4/100/12)^(-Q600)),0),G599+F600)</f>
        <v>0</v>
      </c>
      <c r="E600" s="384" t="n">
        <f aca="false">D600-F600</f>
        <v>0</v>
      </c>
      <c r="F600" s="384" t="n">
        <f aca="false">G599*$D$4*(C600-C599)/(DATE(YEAR(C600)+1,1,1)-DATE(YEAR(C600),1,1))/100</f>
        <v>0</v>
      </c>
      <c r="G600" s="385" t="n">
        <f aca="false">G599-E600-L600-M600</f>
        <v>0</v>
      </c>
      <c r="H600" s="386" t="n">
        <f aca="false">I600+J600</f>
        <v>0</v>
      </c>
      <c r="I600" s="384" t="n">
        <f aca="false">IF($D$3/$D$5&lt;K599,$D$3/$D$5,K599)</f>
        <v>0</v>
      </c>
      <c r="J600" s="384" t="n">
        <f aca="false">K599*$D$4/12/100</f>
        <v>0</v>
      </c>
      <c r="K600" s="387" t="n">
        <f aca="false">K599-I600-L600-M600</f>
        <v>0</v>
      </c>
      <c r="L600" s="388"/>
      <c r="M600" s="389"/>
      <c r="N600" s="409"/>
      <c r="O600" s="409"/>
      <c r="P600" s="391" t="n">
        <f aca="false">IF(ISBLANK(L599),VALUE(P599),ROW(L599))</f>
        <v>10</v>
      </c>
      <c r="Q600" s="314" t="n">
        <f aca="false">Q599+P599-P600</f>
        <v>12</v>
      </c>
      <c r="R600" s="314" t="n">
        <f aca="false">INDEX(G:G,P600,1)</f>
        <v>69000</v>
      </c>
      <c r="S600" s="312"/>
    </row>
    <row r="601" s="379" customFormat="true" ht="14.9" hidden="true" customHeight="false" outlineLevel="0" collapsed="false">
      <c r="A601" s="403" t="n">
        <v>591</v>
      </c>
      <c r="B601" s="414"/>
      <c r="C601" s="413" t="n">
        <f aca="false">DATE(YEAR(C600),MONTH(C600)+1,DAY(C600))</f>
        <v>61849</v>
      </c>
      <c r="D601" s="383" t="n">
        <f aca="false">IF(R601*$D$4/100/12/(1-(1+$D$4/100/12)^(-Q601))&lt;G600,ROUNDUP(R601*$D$4/100/12/(1-(1+$D$4/100/12)^(-Q601)),0),G600+F601)</f>
        <v>0</v>
      </c>
      <c r="E601" s="384" t="n">
        <f aca="false">D601-F601</f>
        <v>0</v>
      </c>
      <c r="F601" s="384" t="n">
        <f aca="false">G600*$D$4*(C601-C600)/(DATE(YEAR(C601)+1,1,1)-DATE(YEAR(C601),1,1))/100</f>
        <v>0</v>
      </c>
      <c r="G601" s="385" t="n">
        <f aca="false">G600-E601-L601-M601</f>
        <v>0</v>
      </c>
      <c r="H601" s="386" t="n">
        <f aca="false">I601+J601</f>
        <v>0</v>
      </c>
      <c r="I601" s="384" t="n">
        <f aca="false">IF($D$3/$D$5&lt;K600,$D$3/$D$5,K600)</f>
        <v>0</v>
      </c>
      <c r="J601" s="384" t="n">
        <f aca="false">K600*$D$4/12/100</f>
        <v>0</v>
      </c>
      <c r="K601" s="387" t="n">
        <f aca="false">K600-I601-L601-M601</f>
        <v>0</v>
      </c>
      <c r="L601" s="388"/>
      <c r="M601" s="389"/>
      <c r="N601" s="409"/>
      <c r="O601" s="409"/>
      <c r="P601" s="391" t="n">
        <f aca="false">IF(ISBLANK(L600),VALUE(P600),ROW(L600))</f>
        <v>10</v>
      </c>
      <c r="Q601" s="314" t="n">
        <f aca="false">Q600+P600-P601</f>
        <v>12</v>
      </c>
      <c r="R601" s="314" t="n">
        <f aca="false">INDEX(G:G,P601,1)</f>
        <v>69000</v>
      </c>
      <c r="S601" s="312"/>
    </row>
    <row r="602" s="379" customFormat="true" ht="14.9" hidden="true" customHeight="false" outlineLevel="0" collapsed="false">
      <c r="A602" s="403" t="n">
        <v>592</v>
      </c>
      <c r="B602" s="414"/>
      <c r="C602" s="413" t="n">
        <f aca="false">DATE(YEAR(C601),MONTH(C601)+1,DAY(C601))</f>
        <v>61880</v>
      </c>
      <c r="D602" s="383" t="n">
        <f aca="false">IF(R602*$D$4/100/12/(1-(1+$D$4/100/12)^(-Q602))&lt;G601,ROUNDUP(R602*$D$4/100/12/(1-(1+$D$4/100/12)^(-Q602)),0),G601+F602)</f>
        <v>0</v>
      </c>
      <c r="E602" s="384" t="n">
        <f aca="false">D602-F602</f>
        <v>0</v>
      </c>
      <c r="F602" s="384" t="n">
        <f aca="false">G601*$D$4*(C602-C601)/(DATE(YEAR(C602)+1,1,1)-DATE(YEAR(C602),1,1))/100</f>
        <v>0</v>
      </c>
      <c r="G602" s="385" t="n">
        <f aca="false">G601-E602-L602-M602</f>
        <v>0</v>
      </c>
      <c r="H602" s="386" t="n">
        <f aca="false">I602+J602</f>
        <v>0</v>
      </c>
      <c r="I602" s="384" t="n">
        <f aca="false">IF($D$3/$D$5&lt;K601,$D$3/$D$5,K601)</f>
        <v>0</v>
      </c>
      <c r="J602" s="384" t="n">
        <f aca="false">K601*$D$4/12/100</f>
        <v>0</v>
      </c>
      <c r="K602" s="387" t="n">
        <f aca="false">K601-I602-L602-M602</f>
        <v>0</v>
      </c>
      <c r="L602" s="388"/>
      <c r="M602" s="389"/>
      <c r="N602" s="409"/>
      <c r="O602" s="409"/>
      <c r="P602" s="391" t="n">
        <f aca="false">IF(ISBLANK(L601),VALUE(P601),ROW(L601))</f>
        <v>10</v>
      </c>
      <c r="Q602" s="314" t="n">
        <f aca="false">Q601+P601-P602</f>
        <v>12</v>
      </c>
      <c r="R602" s="314" t="n">
        <f aca="false">INDEX(G:G,P602,1)</f>
        <v>69000</v>
      </c>
      <c r="S602" s="312"/>
    </row>
    <row r="603" s="379" customFormat="true" ht="14.9" hidden="true" customHeight="false" outlineLevel="0" collapsed="false">
      <c r="A603" s="403" t="n">
        <v>593</v>
      </c>
      <c r="B603" s="414"/>
      <c r="C603" s="413" t="n">
        <f aca="false">DATE(YEAR(C602),MONTH(C602)+1,DAY(C602))</f>
        <v>61910</v>
      </c>
      <c r="D603" s="383" t="n">
        <f aca="false">IF(R603*$D$4/100/12/(1-(1+$D$4/100/12)^(-Q603))&lt;G602,ROUNDUP(R603*$D$4/100/12/(1-(1+$D$4/100/12)^(-Q603)),0),G602+F603)</f>
        <v>0</v>
      </c>
      <c r="E603" s="384" t="n">
        <f aca="false">D603-F603</f>
        <v>0</v>
      </c>
      <c r="F603" s="384" t="n">
        <f aca="false">G602*$D$4*(C603-C602)/(DATE(YEAR(C603)+1,1,1)-DATE(YEAR(C603),1,1))/100</f>
        <v>0</v>
      </c>
      <c r="G603" s="385" t="n">
        <f aca="false">G602-E603-L603-M603</f>
        <v>0</v>
      </c>
      <c r="H603" s="386" t="n">
        <f aca="false">I603+J603</f>
        <v>0</v>
      </c>
      <c r="I603" s="384" t="n">
        <f aca="false">IF($D$3/$D$5&lt;K602,$D$3/$D$5,K602)</f>
        <v>0</v>
      </c>
      <c r="J603" s="384" t="n">
        <f aca="false">K602*$D$4/12/100</f>
        <v>0</v>
      </c>
      <c r="K603" s="387" t="n">
        <f aca="false">K602-I603-L603-M603</f>
        <v>0</v>
      </c>
      <c r="L603" s="388"/>
      <c r="M603" s="389"/>
      <c r="N603" s="409"/>
      <c r="O603" s="409"/>
      <c r="P603" s="391" t="n">
        <f aca="false">IF(ISBLANK(L602),VALUE(P602),ROW(L602))</f>
        <v>10</v>
      </c>
      <c r="Q603" s="314" t="n">
        <f aca="false">Q602+P602-P603</f>
        <v>12</v>
      </c>
      <c r="R603" s="314" t="n">
        <f aca="false">INDEX(G:G,P603,1)</f>
        <v>69000</v>
      </c>
      <c r="S603" s="312"/>
    </row>
    <row r="604" s="379" customFormat="true" ht="14.9" hidden="true" customHeight="false" outlineLevel="0" collapsed="false">
      <c r="A604" s="403" t="n">
        <v>594</v>
      </c>
      <c r="B604" s="414"/>
      <c r="C604" s="413" t="n">
        <f aca="false">DATE(YEAR(C603),MONTH(C603)+1,DAY(C603))</f>
        <v>61941</v>
      </c>
      <c r="D604" s="383" t="n">
        <f aca="false">IF(R604*$D$4/100/12/(1-(1+$D$4/100/12)^(-Q604))&lt;G603,ROUNDUP(R604*$D$4/100/12/(1-(1+$D$4/100/12)^(-Q604)),0),G603+F604)</f>
        <v>0</v>
      </c>
      <c r="E604" s="384" t="n">
        <f aca="false">D604-F604</f>
        <v>0</v>
      </c>
      <c r="F604" s="384" t="n">
        <f aca="false">G603*$D$4*(C604-C603)/(DATE(YEAR(C604)+1,1,1)-DATE(YEAR(C604),1,1))/100</f>
        <v>0</v>
      </c>
      <c r="G604" s="385" t="n">
        <f aca="false">G603-E604-L604-M604</f>
        <v>0</v>
      </c>
      <c r="H604" s="386" t="n">
        <f aca="false">I604+J604</f>
        <v>0</v>
      </c>
      <c r="I604" s="384" t="n">
        <f aca="false">IF($D$3/$D$5&lt;K603,$D$3/$D$5,K603)</f>
        <v>0</v>
      </c>
      <c r="J604" s="384" t="n">
        <f aca="false">K603*$D$4/12/100</f>
        <v>0</v>
      </c>
      <c r="K604" s="387" t="n">
        <f aca="false">K603-I604-L604-M604</f>
        <v>0</v>
      </c>
      <c r="L604" s="388"/>
      <c r="M604" s="389"/>
      <c r="N604" s="409"/>
      <c r="O604" s="409"/>
      <c r="P604" s="391" t="n">
        <f aca="false">IF(ISBLANK(L603),VALUE(P603),ROW(L603))</f>
        <v>10</v>
      </c>
      <c r="Q604" s="314" t="n">
        <f aca="false">Q603+P603-P604</f>
        <v>12</v>
      </c>
      <c r="R604" s="314" t="n">
        <f aca="false">INDEX(G:G,P604,1)</f>
        <v>69000</v>
      </c>
      <c r="S604" s="312"/>
    </row>
    <row r="605" s="379" customFormat="true" ht="14.9" hidden="true" customHeight="false" outlineLevel="0" collapsed="false">
      <c r="A605" s="403" t="n">
        <v>595</v>
      </c>
      <c r="B605" s="414"/>
      <c r="C605" s="413" t="n">
        <f aca="false">DATE(YEAR(C604),MONTH(C604)+1,DAY(C604))</f>
        <v>61972</v>
      </c>
      <c r="D605" s="383" t="n">
        <f aca="false">IF(R605*$D$4/100/12/(1-(1+$D$4/100/12)^(-Q605))&lt;G604,ROUNDUP(R605*$D$4/100/12/(1-(1+$D$4/100/12)^(-Q605)),0),G604+F605)</f>
        <v>0</v>
      </c>
      <c r="E605" s="384" t="n">
        <f aca="false">D605-F605</f>
        <v>0</v>
      </c>
      <c r="F605" s="384" t="n">
        <f aca="false">G604*$D$4*(C605-C604)/(DATE(YEAR(C605)+1,1,1)-DATE(YEAR(C605),1,1))/100</f>
        <v>0</v>
      </c>
      <c r="G605" s="385" t="n">
        <f aca="false">G604-E605-L605-M605</f>
        <v>0</v>
      </c>
      <c r="H605" s="386" t="n">
        <f aca="false">I605+J605</f>
        <v>0</v>
      </c>
      <c r="I605" s="384" t="n">
        <f aca="false">IF($D$3/$D$5&lt;K604,$D$3/$D$5,K604)</f>
        <v>0</v>
      </c>
      <c r="J605" s="384" t="n">
        <f aca="false">K604*$D$4/12/100</f>
        <v>0</v>
      </c>
      <c r="K605" s="387" t="n">
        <f aca="false">K604-I605-L605-M605</f>
        <v>0</v>
      </c>
      <c r="L605" s="388"/>
      <c r="M605" s="389"/>
      <c r="N605" s="409"/>
      <c r="O605" s="409"/>
      <c r="P605" s="391" t="n">
        <f aca="false">IF(ISBLANK(L604),VALUE(P604),ROW(L604))</f>
        <v>10</v>
      </c>
      <c r="Q605" s="314" t="n">
        <f aca="false">Q604+P604-P605</f>
        <v>12</v>
      </c>
      <c r="R605" s="314" t="n">
        <f aca="false">INDEX(G:G,P605,1)</f>
        <v>69000</v>
      </c>
      <c r="S605" s="312"/>
    </row>
    <row r="606" s="379" customFormat="true" ht="14.9" hidden="true" customHeight="false" outlineLevel="0" collapsed="false">
      <c r="A606" s="403" t="n">
        <v>596</v>
      </c>
      <c r="B606" s="414"/>
      <c r="C606" s="413" t="n">
        <f aca="false">DATE(YEAR(C605),MONTH(C605)+1,DAY(C605))</f>
        <v>62002</v>
      </c>
      <c r="D606" s="383" t="n">
        <f aca="false">IF(R606*$D$4/100/12/(1-(1+$D$4/100/12)^(-Q606))&lt;G605,ROUNDUP(R606*$D$4/100/12/(1-(1+$D$4/100/12)^(-Q606)),0),G605+F606)</f>
        <v>0</v>
      </c>
      <c r="E606" s="384" t="n">
        <f aca="false">D606-F606</f>
        <v>0</v>
      </c>
      <c r="F606" s="384" t="n">
        <f aca="false">G605*$D$4*(C606-C605)/(DATE(YEAR(C606)+1,1,1)-DATE(YEAR(C606),1,1))/100</f>
        <v>0</v>
      </c>
      <c r="G606" s="385" t="n">
        <f aca="false">G605-E606-L606-M606</f>
        <v>0</v>
      </c>
      <c r="H606" s="386" t="n">
        <f aca="false">I606+J606</f>
        <v>0</v>
      </c>
      <c r="I606" s="384" t="n">
        <f aca="false">IF($D$3/$D$5&lt;K605,$D$3/$D$5,K605)</f>
        <v>0</v>
      </c>
      <c r="J606" s="384" t="n">
        <f aca="false">K605*$D$4/12/100</f>
        <v>0</v>
      </c>
      <c r="K606" s="387" t="n">
        <f aca="false">K605-I606-L606-M606</f>
        <v>0</v>
      </c>
      <c r="L606" s="388"/>
      <c r="M606" s="389"/>
      <c r="N606" s="409"/>
      <c r="O606" s="409"/>
      <c r="P606" s="391" t="n">
        <f aca="false">IF(ISBLANK(L605),VALUE(P605),ROW(L605))</f>
        <v>10</v>
      </c>
      <c r="Q606" s="314" t="n">
        <f aca="false">Q605+P605-P606</f>
        <v>12</v>
      </c>
      <c r="R606" s="314" t="n">
        <f aca="false">INDEX(G:G,P606,1)</f>
        <v>69000</v>
      </c>
      <c r="S606" s="312"/>
    </row>
    <row r="607" s="379" customFormat="true" ht="14.9" hidden="true" customHeight="false" outlineLevel="0" collapsed="false">
      <c r="A607" s="403" t="n">
        <v>597</v>
      </c>
      <c r="B607" s="414"/>
      <c r="C607" s="413" t="n">
        <f aca="false">DATE(YEAR(C606),MONTH(C606)+1,DAY(C606))</f>
        <v>62033</v>
      </c>
      <c r="D607" s="383" t="n">
        <f aca="false">IF(R607*$D$4/100/12/(1-(1+$D$4/100/12)^(-Q607))&lt;G606,ROUNDUP(R607*$D$4/100/12/(1-(1+$D$4/100/12)^(-Q607)),0),G606+F607)</f>
        <v>0</v>
      </c>
      <c r="E607" s="384" t="n">
        <f aca="false">D607-F607</f>
        <v>0</v>
      </c>
      <c r="F607" s="384" t="n">
        <f aca="false">G606*$D$4*(C607-C606)/(DATE(YEAR(C607)+1,1,1)-DATE(YEAR(C607),1,1))/100</f>
        <v>0</v>
      </c>
      <c r="G607" s="385" t="n">
        <f aca="false">G606-E607-L607-M607</f>
        <v>0</v>
      </c>
      <c r="H607" s="386" t="n">
        <f aca="false">I607+J607</f>
        <v>0</v>
      </c>
      <c r="I607" s="384" t="n">
        <f aca="false">IF($D$3/$D$5&lt;K606,$D$3/$D$5,K606)</f>
        <v>0</v>
      </c>
      <c r="J607" s="384" t="n">
        <f aca="false">K606*$D$4/12/100</f>
        <v>0</v>
      </c>
      <c r="K607" s="387" t="n">
        <f aca="false">K606-I607-L607-M607</f>
        <v>0</v>
      </c>
      <c r="L607" s="388"/>
      <c r="M607" s="389"/>
      <c r="N607" s="409"/>
      <c r="O607" s="409"/>
      <c r="P607" s="391" t="n">
        <f aca="false">IF(ISBLANK(L606),VALUE(P606),ROW(L606))</f>
        <v>10</v>
      </c>
      <c r="Q607" s="314" t="n">
        <f aca="false">Q606+P606-P607</f>
        <v>12</v>
      </c>
      <c r="R607" s="314" t="n">
        <f aca="false">INDEX(G:G,P607,1)</f>
        <v>69000</v>
      </c>
      <c r="S607" s="312"/>
    </row>
    <row r="608" s="379" customFormat="true" ht="14.9" hidden="true" customHeight="false" outlineLevel="0" collapsed="false">
      <c r="A608" s="403" t="n">
        <v>598</v>
      </c>
      <c r="B608" s="414"/>
      <c r="C608" s="413" t="n">
        <f aca="false">DATE(YEAR(C607),MONTH(C607)+1,DAY(C607))</f>
        <v>62063</v>
      </c>
      <c r="D608" s="383" t="n">
        <f aca="false">IF(R608*$D$4/100/12/(1-(1+$D$4/100/12)^(-Q608))&lt;G607,ROUNDUP(R608*$D$4/100/12/(1-(1+$D$4/100/12)^(-Q608)),0),G607+F608)</f>
        <v>0</v>
      </c>
      <c r="E608" s="384" t="n">
        <f aca="false">D608-F608</f>
        <v>0</v>
      </c>
      <c r="F608" s="384" t="n">
        <f aca="false">G607*$D$4*(C608-C607)/(DATE(YEAR(C608)+1,1,1)-DATE(YEAR(C608),1,1))/100</f>
        <v>0</v>
      </c>
      <c r="G608" s="385" t="n">
        <f aca="false">G607-E608-L608-M608</f>
        <v>0</v>
      </c>
      <c r="H608" s="386" t="n">
        <f aca="false">I608+J608</f>
        <v>0</v>
      </c>
      <c r="I608" s="384" t="n">
        <f aca="false">IF($D$3/$D$5&lt;K607,$D$3/$D$5,K607)</f>
        <v>0</v>
      </c>
      <c r="J608" s="384" t="n">
        <f aca="false">K607*$D$4/12/100</f>
        <v>0</v>
      </c>
      <c r="K608" s="387" t="n">
        <f aca="false">K607-I608-L608-M608</f>
        <v>0</v>
      </c>
      <c r="L608" s="388"/>
      <c r="M608" s="389"/>
      <c r="N608" s="409"/>
      <c r="O608" s="409"/>
      <c r="P608" s="391" t="n">
        <f aca="false">IF(ISBLANK(L607),VALUE(P607),ROW(L607))</f>
        <v>10</v>
      </c>
      <c r="Q608" s="314" t="n">
        <f aca="false">Q607+P607-P608</f>
        <v>12</v>
      </c>
      <c r="R608" s="314" t="n">
        <f aca="false">INDEX(G:G,P608,1)</f>
        <v>69000</v>
      </c>
      <c r="S608" s="312"/>
    </row>
    <row r="609" s="379" customFormat="true" ht="14.9" hidden="true" customHeight="false" outlineLevel="0" collapsed="false">
      <c r="A609" s="403" t="n">
        <v>599</v>
      </c>
      <c r="B609" s="414"/>
      <c r="C609" s="413" t="n">
        <f aca="false">DATE(YEAR(C608),MONTH(C608)+1,DAY(C608))</f>
        <v>62094</v>
      </c>
      <c r="D609" s="383" t="n">
        <f aca="false">IF(R609*$D$4/100/12/(1-(1+$D$4/100/12)^(-Q609))&lt;G608,ROUNDUP(R609*$D$4/100/12/(1-(1+$D$4/100/12)^(-Q609)),0),G608+F609)</f>
        <v>0</v>
      </c>
      <c r="E609" s="384" t="n">
        <f aca="false">D609-F609</f>
        <v>0</v>
      </c>
      <c r="F609" s="384" t="n">
        <f aca="false">G608*$D$4*(C609-C608)/(DATE(YEAR(C609)+1,1,1)-DATE(YEAR(C609),1,1))/100</f>
        <v>0</v>
      </c>
      <c r="G609" s="385" t="n">
        <f aca="false">G608-E609-L609-M609</f>
        <v>0</v>
      </c>
      <c r="H609" s="386" t="n">
        <f aca="false">I609+J609</f>
        <v>0</v>
      </c>
      <c r="I609" s="384" t="n">
        <f aca="false">IF($D$3/$D$5&lt;K608,$D$3/$D$5,K608)</f>
        <v>0</v>
      </c>
      <c r="J609" s="384" t="n">
        <f aca="false">K608*$D$4/12/100</f>
        <v>0</v>
      </c>
      <c r="K609" s="387" t="n">
        <f aca="false">K608-I609-L609-M609</f>
        <v>0</v>
      </c>
      <c r="L609" s="388"/>
      <c r="M609" s="389"/>
      <c r="N609" s="409"/>
      <c r="O609" s="409"/>
      <c r="P609" s="391" t="n">
        <f aca="false">IF(ISBLANK(L608),VALUE(P608),ROW(L608))</f>
        <v>10</v>
      </c>
      <c r="Q609" s="314" t="n">
        <f aca="false">Q608+P608-P609</f>
        <v>12</v>
      </c>
      <c r="R609" s="314" t="n">
        <f aca="false">INDEX(G:G,P609,1)</f>
        <v>69000</v>
      </c>
      <c r="S609" s="312"/>
    </row>
    <row r="610" s="379" customFormat="true" ht="14.9" hidden="true" customHeight="false" outlineLevel="0" collapsed="false">
      <c r="A610" s="404" t="n">
        <v>600</v>
      </c>
      <c r="B610" s="414"/>
      <c r="C610" s="413" t="n">
        <f aca="false">DATE(YEAR(C609),MONTH(C609)+1,DAY(C609))</f>
        <v>62125</v>
      </c>
      <c r="D610" s="383" t="n">
        <f aca="false">IF(R610*$D$4/100/12/(1-(1+$D$4/100/12)^(-Q610))&lt;G609,ROUNDUP(R610*$D$4/100/12/(1-(1+$D$4/100/12)^(-Q610)),0),G609+F610)</f>
        <v>0</v>
      </c>
      <c r="E610" s="395" t="n">
        <f aca="false">D610-F610</f>
        <v>0</v>
      </c>
      <c r="F610" s="384" t="n">
        <f aca="false">G609*$D$4*(C610-C609)/(DATE(YEAR(C610)+1,1,1)-DATE(YEAR(C610),1,1))/100</f>
        <v>0</v>
      </c>
      <c r="G610" s="405" t="n">
        <f aca="false">G609-E610-L610-M610</f>
        <v>0</v>
      </c>
      <c r="H610" s="415" t="n">
        <f aca="false">I610+J610</f>
        <v>0</v>
      </c>
      <c r="I610" s="416" t="n">
        <f aca="false">IF($D$3/$D$5&lt;K609,$D$3/$D$5,K609)</f>
        <v>0</v>
      </c>
      <c r="J610" s="416" t="n">
        <f aca="false">K609*$D$4/12/100</f>
        <v>0</v>
      </c>
      <c r="K610" s="417" t="n">
        <f aca="false">K609-I610-L610-M610</f>
        <v>0</v>
      </c>
      <c r="L610" s="418"/>
      <c r="M610" s="419"/>
      <c r="N610" s="409"/>
      <c r="O610" s="409"/>
      <c r="P610" s="391" t="n">
        <f aca="false">IF(ISBLANK(L609),VALUE(P609),ROW(L609))</f>
        <v>10</v>
      </c>
      <c r="Q610" s="314" t="n">
        <f aca="false">Q609+P609-P610</f>
        <v>12</v>
      </c>
      <c r="R610" s="314" t="n">
        <f aca="false">INDEX(G:G,P610,1)</f>
        <v>69000</v>
      </c>
      <c r="S610" s="312"/>
    </row>
    <row r="611" customFormat="false" ht="14.9" hidden="true" customHeight="false" outlineLevel="0" collapsed="false">
      <c r="F611" s="384" t="n">
        <f aca="false">G610*$D$4*(C611-C610)/(DATE(YEAR(C611)+1,1,1)-DATE(YEAR(C611),1,1))/100</f>
        <v>-0</v>
      </c>
    </row>
    <row r="612" customFormat="false" ht="14.9" hidden="true" customHeight="false" outlineLevel="0" collapsed="false">
      <c r="F612" s="384" t="n">
        <f aca="false">G611*$D$4*(C612-C611)/(DATE(YEAR(C612)+1,1,1)-DATE(YEAR(C612),1,1))/100</f>
        <v>0</v>
      </c>
    </row>
    <row r="613" customFormat="false" ht="14.9" hidden="true" customHeight="false" outlineLevel="0" collapsed="false">
      <c r="F613" s="384" t="n">
        <f aca="false">G612*$D$4*(C613-C612)/(DATE(YEAR(C613)+1,1,1)-DATE(YEAR(C613),1,1))/100</f>
        <v>0</v>
      </c>
    </row>
    <row r="614" customFormat="false" ht="14.9" hidden="true" customHeight="false" outlineLevel="0" collapsed="false">
      <c r="F614" s="384" t="n">
        <f aca="false">G613*$D$4*(C614-C613)/(DATE(YEAR(C614)+1,1,1)-DATE(YEAR(C614),1,1))/100</f>
        <v>0</v>
      </c>
    </row>
    <row r="615" customFormat="false" ht="14.9" hidden="true" customHeight="false" outlineLevel="0" collapsed="false">
      <c r="F615" s="384" t="n">
        <f aca="false">G614*$D$4*(C615-C614)/(DATE(YEAR(C615)+1,1,1)-DATE(YEAR(C615),1,1))/100</f>
        <v>0</v>
      </c>
    </row>
    <row r="616" customFormat="false" ht="14.9" hidden="true" customHeight="false" outlineLevel="0" collapsed="false">
      <c r="F616" s="384" t="n">
        <f aca="false">G615*$D$4*(C616-C615)/(DATE(YEAR(C616)+1,1,1)-DATE(YEAR(C616),1,1))/100</f>
        <v>0</v>
      </c>
    </row>
    <row r="617" customFormat="false" ht="14.9" hidden="true" customHeight="false" outlineLevel="0" collapsed="false">
      <c r="F617" s="384" t="n">
        <f aca="false">G616*$D$4*(C617-C616)/(DATE(YEAR(C617)+1,1,1)-DATE(YEAR(C617),1,1))/100</f>
        <v>0</v>
      </c>
    </row>
    <row r="618" customFormat="false" ht="14.9" hidden="true" customHeight="false" outlineLevel="0" collapsed="false">
      <c r="F618" s="384" t="n">
        <f aca="false">G617*$D$4*(C618-C617)/(DATE(YEAR(C618)+1,1,1)-DATE(YEAR(C618),1,1))/100</f>
        <v>0</v>
      </c>
    </row>
    <row r="619" customFormat="false" ht="14.9" hidden="true" customHeight="false" outlineLevel="0" collapsed="false">
      <c r="F619" s="384" t="n">
        <f aca="false">G618*$D$4*(C619-C618)/(DATE(YEAR(C619)+1,1,1)-DATE(YEAR(C619),1,1))/100</f>
        <v>0</v>
      </c>
    </row>
    <row r="620" customFormat="false" ht="14.9" hidden="true" customHeight="false" outlineLevel="0" collapsed="false">
      <c r="F620" s="384" t="n">
        <f aca="false">G619*$D$4*(C620-C619)/(DATE(YEAR(C620)+1,1,1)-DATE(YEAR(C620),1,1))/100</f>
        <v>0</v>
      </c>
    </row>
    <row r="621" customFormat="false" ht="14.9" hidden="true" customHeight="false" outlineLevel="0" collapsed="false">
      <c r="F621" s="384" t="n">
        <f aca="false">G620*$D$4*(C621-C620)/(DATE(YEAR(C621)+1,1,1)-DATE(YEAR(C621),1,1))/100</f>
        <v>0</v>
      </c>
    </row>
    <row r="622" customFormat="false" ht="14.9" hidden="true" customHeight="false" outlineLevel="0" collapsed="false">
      <c r="F622" s="384" t="n">
        <f aca="false">G621*$D$4*(C622-C621)/(DATE(YEAR(C622)+1,1,1)-DATE(YEAR(C622),1,1))/100</f>
        <v>0</v>
      </c>
    </row>
    <row r="623" customFormat="false" ht="14.9" hidden="true" customHeight="false" outlineLevel="0" collapsed="false">
      <c r="F623" s="384" t="n">
        <f aca="false">G622*$D$4*(C623-C622)/(DATE(YEAR(C623)+1,1,1)-DATE(YEAR(C623),1,1))/100</f>
        <v>0</v>
      </c>
    </row>
    <row r="624" customFormat="false" ht="14.9" hidden="true" customHeight="false" outlineLevel="0" collapsed="false">
      <c r="F624" s="384" t="n">
        <f aca="false">G623*$D$4*(C624-C623)/(DATE(YEAR(C624)+1,1,1)-DATE(YEAR(C624),1,1))/100</f>
        <v>0</v>
      </c>
    </row>
    <row r="625" customFormat="false" ht="14.9" hidden="true" customHeight="false" outlineLevel="0" collapsed="false">
      <c r="F625" s="384" t="n">
        <f aca="false">G624*$D$4*(C625-C624)/(DATE(YEAR(C625)+1,1,1)-DATE(YEAR(C625),1,1))/100</f>
        <v>0</v>
      </c>
    </row>
    <row r="626" customFormat="false" ht="14.9" hidden="true" customHeight="false" outlineLevel="0" collapsed="false">
      <c r="F626" s="384" t="n">
        <f aca="false">G625*$D$4*(C626-C625)/(DATE(YEAR(C626)+1,1,1)-DATE(YEAR(C626),1,1))/100</f>
        <v>0</v>
      </c>
    </row>
    <row r="627" customFormat="false" ht="14.9" hidden="true" customHeight="false" outlineLevel="0" collapsed="false">
      <c r="F627" s="384" t="n">
        <f aca="false">G626*$D$4*(C627-C626)/(DATE(YEAR(C627)+1,1,1)-DATE(YEAR(C627),1,1))/100</f>
        <v>0</v>
      </c>
    </row>
    <row r="628" customFormat="false" ht="14.9" hidden="true" customHeight="false" outlineLevel="0" collapsed="false">
      <c r="F628" s="384" t="n">
        <f aca="false">G627*$D$4*(C628-C627)/(DATE(YEAR(C628)+1,1,1)-DATE(YEAR(C628),1,1))/100</f>
        <v>0</v>
      </c>
    </row>
    <row r="629" customFormat="false" ht="14.9" hidden="true" customHeight="false" outlineLevel="0" collapsed="false">
      <c r="F629" s="384" t="n">
        <f aca="false">G628*$D$4*(C629-C628)/(DATE(YEAR(C629)+1,1,1)-DATE(YEAR(C629),1,1))/100</f>
        <v>0</v>
      </c>
    </row>
    <row r="630" customFormat="false" ht="14.9" hidden="true" customHeight="false" outlineLevel="0" collapsed="false">
      <c r="F630" s="384" t="n">
        <f aca="false">G629*$D$4*(C630-C629)/(DATE(YEAR(C630)+1,1,1)-DATE(YEAR(C630),1,1))/100</f>
        <v>0</v>
      </c>
    </row>
    <row r="631" customFormat="false" ht="14.9" hidden="true" customHeight="false" outlineLevel="0" collapsed="false">
      <c r="F631" s="384" t="n">
        <f aca="false">G630*$D$4*(C631-C630)/(DATE(YEAR(C631)+1,1,1)-DATE(YEAR(C631),1,1))/100</f>
        <v>0</v>
      </c>
    </row>
    <row r="632" customFormat="false" ht="14.9" hidden="true" customHeight="false" outlineLevel="0" collapsed="false">
      <c r="F632" s="384" t="n">
        <f aca="false">G631*$D$4*(C632-C631)/(DATE(YEAR(C632)+1,1,1)-DATE(YEAR(C632),1,1))/100</f>
        <v>0</v>
      </c>
    </row>
    <row r="633" customFormat="false" ht="14.9" hidden="true" customHeight="false" outlineLevel="0" collapsed="false">
      <c r="F633" s="384" t="n">
        <f aca="false">G632*$D$4*(C633-C632)/(DATE(YEAR(C633)+1,1,1)-DATE(YEAR(C633),1,1))/100</f>
        <v>0</v>
      </c>
    </row>
    <row r="634" customFormat="false" ht="14.9" hidden="true" customHeight="false" outlineLevel="0" collapsed="false">
      <c r="F634" s="384" t="n">
        <f aca="false">G633*$D$4*(C634-C633)/(DATE(YEAR(C634)+1,1,1)-DATE(YEAR(C634),1,1))/100</f>
        <v>0</v>
      </c>
    </row>
    <row r="635" customFormat="false" ht="14.9" hidden="true" customHeight="false" outlineLevel="0" collapsed="false">
      <c r="F635" s="384" t="n">
        <f aca="false">G634*$D$4*(C635-C634)/(DATE(YEAR(C635)+1,1,1)-DATE(YEAR(C635),1,1))/100</f>
        <v>0</v>
      </c>
    </row>
    <row r="636" customFormat="false" ht="14.9" hidden="true" customHeight="false" outlineLevel="0" collapsed="false">
      <c r="F636" s="384" t="n">
        <f aca="false">G635*$D$4*(C636-C635)/(DATE(YEAR(C636)+1,1,1)-DATE(YEAR(C636),1,1))/100</f>
        <v>0</v>
      </c>
    </row>
    <row r="637" customFormat="false" ht="14.9" hidden="true" customHeight="false" outlineLevel="0" collapsed="false">
      <c r="F637" s="384" t="n">
        <f aca="false">G636*$D$4*(C637-C636)/(DATE(YEAR(C637)+1,1,1)-DATE(YEAR(C637),1,1))/100</f>
        <v>0</v>
      </c>
    </row>
    <row r="638" customFormat="false" ht="14.9" hidden="true" customHeight="false" outlineLevel="0" collapsed="false">
      <c r="F638" s="384" t="n">
        <f aca="false">G637*$D$4*(C638-C637)/(DATE(YEAR(C638)+1,1,1)-DATE(YEAR(C638),1,1))/100</f>
        <v>0</v>
      </c>
    </row>
    <row r="639" customFormat="false" ht="14.9" hidden="true" customHeight="false" outlineLevel="0" collapsed="false">
      <c r="F639" s="384" t="n">
        <f aca="false">G638*$D$4*(C639-C638)/(DATE(YEAR(C639)+1,1,1)-DATE(YEAR(C639),1,1))/100</f>
        <v>0</v>
      </c>
    </row>
    <row r="640" customFormat="false" ht="14.9" hidden="true" customHeight="false" outlineLevel="0" collapsed="false">
      <c r="F640" s="384" t="n">
        <f aca="false">G639*$D$4*(C640-C639)/(DATE(YEAR(C640)+1,1,1)-DATE(YEAR(C640),1,1))/100</f>
        <v>0</v>
      </c>
    </row>
    <row r="641" customFormat="false" ht="14.9" hidden="true" customHeight="false" outlineLevel="0" collapsed="false">
      <c r="F641" s="384" t="n">
        <f aca="false">G640*$D$4*(C641-C640)/(DATE(YEAR(C641)+1,1,1)-DATE(YEAR(C641),1,1))/100</f>
        <v>0</v>
      </c>
    </row>
    <row r="642" customFormat="false" ht="14.9" hidden="true" customHeight="false" outlineLevel="0" collapsed="false">
      <c r="F642" s="384" t="n">
        <f aca="false">G641*$D$4*(C642-C641)/(DATE(YEAR(C642)+1,1,1)-DATE(YEAR(C642),1,1))/100</f>
        <v>0</v>
      </c>
    </row>
    <row r="643" customFormat="false" ht="14.9" hidden="true" customHeight="false" outlineLevel="0" collapsed="false">
      <c r="F643" s="384" t="n">
        <f aca="false">G642*$D$4*(C643-C642)/(DATE(YEAR(C643)+1,1,1)-DATE(YEAR(C643),1,1))/100</f>
        <v>0</v>
      </c>
    </row>
    <row r="644" customFormat="false" ht="14.9" hidden="true" customHeight="false" outlineLevel="0" collapsed="false">
      <c r="F644" s="384" t="n">
        <f aca="false">G643*$D$4*(C644-C643)/(DATE(YEAR(C644)+1,1,1)-DATE(YEAR(C644),1,1))/100</f>
        <v>0</v>
      </c>
    </row>
    <row r="645" customFormat="false" ht="14.9" hidden="true" customHeight="false" outlineLevel="0" collapsed="false">
      <c r="F645" s="384" t="n">
        <f aca="false">G644*$D$4*(C645-C644)/(DATE(YEAR(C645)+1,1,1)-DATE(YEAR(C645),1,1))/100</f>
        <v>0</v>
      </c>
    </row>
    <row r="646" customFormat="false" ht="14.9" hidden="true" customHeight="false" outlineLevel="0" collapsed="false">
      <c r="F646" s="384" t="n">
        <f aca="false">G645*$D$4*(C646-C645)/(DATE(YEAR(C646)+1,1,1)-DATE(YEAR(C646),1,1))/100</f>
        <v>0</v>
      </c>
    </row>
    <row r="647" customFormat="false" ht="14.9" hidden="true" customHeight="false" outlineLevel="0" collapsed="false">
      <c r="F647" s="384" t="n">
        <f aca="false">G646*$D$4*(C647-C646)/(DATE(YEAR(C647)+1,1,1)-DATE(YEAR(C647),1,1))/100</f>
        <v>0</v>
      </c>
    </row>
    <row r="648" customFormat="false" ht="14.9" hidden="true" customHeight="false" outlineLevel="0" collapsed="false">
      <c r="F648" s="384" t="n">
        <f aca="false">G647*$D$4*(C648-C647)/(DATE(YEAR(C648)+1,1,1)-DATE(YEAR(C648),1,1))/100</f>
        <v>0</v>
      </c>
    </row>
    <row r="649" customFormat="false" ht="14.9" hidden="true" customHeight="false" outlineLevel="0" collapsed="false">
      <c r="F649" s="384" t="n">
        <f aca="false">G648*$D$4*(C649-C648)/(DATE(YEAR(C649)+1,1,1)-DATE(YEAR(C649),1,1))/100</f>
        <v>0</v>
      </c>
    </row>
    <row r="650" customFormat="false" ht="14.9" hidden="true" customHeight="false" outlineLevel="0" collapsed="false">
      <c r="F650" s="384" t="n">
        <f aca="false">G649*$D$4*(C650-C649)/(DATE(YEAR(C650)+1,1,1)-DATE(YEAR(C650),1,1))/100</f>
        <v>0</v>
      </c>
    </row>
    <row r="651" customFormat="false" ht="14.9" hidden="true" customHeight="false" outlineLevel="0" collapsed="false">
      <c r="F651" s="384" t="n">
        <f aca="false">G650*$D$4*(C651-C650)/(DATE(YEAR(C651)+1,1,1)-DATE(YEAR(C651),1,1))/100</f>
        <v>0</v>
      </c>
    </row>
    <row r="652" customFormat="false" ht="14.9" hidden="true" customHeight="false" outlineLevel="0" collapsed="false">
      <c r="F652" s="384" t="n">
        <f aca="false">G651*$D$4*(C652-C651)/(DATE(YEAR(C652)+1,1,1)-DATE(YEAR(C652),1,1))/100</f>
        <v>0</v>
      </c>
    </row>
    <row r="653" customFormat="false" ht="14.9" hidden="true" customHeight="false" outlineLevel="0" collapsed="false">
      <c r="F653" s="384" t="n">
        <f aca="false">G652*$D$4*(C653-C652)/(DATE(YEAR(C653)+1,1,1)-DATE(YEAR(C653),1,1))/100</f>
        <v>0</v>
      </c>
    </row>
    <row r="654" customFormat="false" ht="14.9" hidden="true" customHeight="false" outlineLevel="0" collapsed="false">
      <c r="F654" s="384" t="n">
        <f aca="false">G653*$D$4*(C654-C653)/(DATE(YEAR(C654)+1,1,1)-DATE(YEAR(C654),1,1))/100</f>
        <v>0</v>
      </c>
    </row>
    <row r="655" customFormat="false" ht="14.9" hidden="true" customHeight="false" outlineLevel="0" collapsed="false">
      <c r="F655" s="384" t="n">
        <f aca="false">G654*$D$4*(C655-C654)/(DATE(YEAR(C655)+1,1,1)-DATE(YEAR(C655),1,1))/100</f>
        <v>0</v>
      </c>
    </row>
    <row r="656" customFormat="false" ht="14.9" hidden="true" customHeight="false" outlineLevel="0" collapsed="false">
      <c r="F656" s="384" t="n">
        <f aca="false">G655*$D$4*(C656-C655)/(DATE(YEAR(C656)+1,1,1)-DATE(YEAR(C656),1,1))/100</f>
        <v>0</v>
      </c>
    </row>
    <row r="657" customFormat="false" ht="14.9" hidden="true" customHeight="false" outlineLevel="0" collapsed="false">
      <c r="F657" s="384" t="n">
        <f aca="false">G656*$D$4*(C657-C656)/(DATE(YEAR(C657)+1,1,1)-DATE(YEAR(C657),1,1))/100</f>
        <v>0</v>
      </c>
    </row>
    <row r="658" customFormat="false" ht="14.9" hidden="true" customHeight="false" outlineLevel="0" collapsed="false">
      <c r="F658" s="384" t="n">
        <f aca="false">G657*$D$4*(C658-C657)/(DATE(YEAR(C658)+1,1,1)-DATE(YEAR(C658),1,1))/100</f>
        <v>0</v>
      </c>
    </row>
    <row r="659" customFormat="false" ht="14.9" hidden="true" customHeight="false" outlineLevel="0" collapsed="false">
      <c r="F659" s="384" t="n">
        <f aca="false">G658*$D$4*(C659-C658)/(DATE(YEAR(C659)+1,1,1)-DATE(YEAR(C659),1,1))/100</f>
        <v>0</v>
      </c>
    </row>
    <row r="660" customFormat="false" ht="14.9" hidden="true" customHeight="false" outlineLevel="0" collapsed="false">
      <c r="F660" s="384" t="n">
        <f aca="false">G659*$D$4*(C660-C659)/(DATE(YEAR(C660)+1,1,1)-DATE(YEAR(C660),1,1))/100</f>
        <v>0</v>
      </c>
    </row>
    <row r="661" customFormat="false" ht="14.9" hidden="true" customHeight="false" outlineLevel="0" collapsed="false">
      <c r="F661" s="384" t="n">
        <f aca="false">G660*$D$4*(C661-C660)/(DATE(YEAR(C661)+1,1,1)-DATE(YEAR(C661),1,1))/100</f>
        <v>0</v>
      </c>
    </row>
    <row r="662" customFormat="false" ht="14.9" hidden="true" customHeight="false" outlineLevel="0" collapsed="false">
      <c r="F662" s="384" t="n">
        <f aca="false">G661*$D$4*(C662-C661)/(DATE(YEAR(C662)+1,1,1)-DATE(YEAR(C662),1,1))/100</f>
        <v>0</v>
      </c>
    </row>
    <row r="663" customFormat="false" ht="14.9" hidden="true" customHeight="false" outlineLevel="0" collapsed="false">
      <c r="F663" s="384" t="n">
        <f aca="false">G662*$D$4*(C663-C662)/(DATE(YEAR(C663)+1,1,1)-DATE(YEAR(C663),1,1))/100</f>
        <v>0</v>
      </c>
    </row>
    <row r="664" customFormat="false" ht="14.9" hidden="true" customHeight="false" outlineLevel="0" collapsed="false">
      <c r="F664" s="384" t="n">
        <f aca="false">G663*$D$4*(C664-C663)/(DATE(YEAR(C664)+1,1,1)-DATE(YEAR(C664),1,1))/100</f>
        <v>0</v>
      </c>
    </row>
    <row r="665" customFormat="false" ht="14.9" hidden="true" customHeight="false" outlineLevel="0" collapsed="false">
      <c r="F665" s="384" t="n">
        <f aca="false">G664*$D$4*(C665-C664)/(DATE(YEAR(C665)+1,1,1)-DATE(YEAR(C665),1,1))/100</f>
        <v>0</v>
      </c>
    </row>
    <row r="666" customFormat="false" ht="14.9" hidden="true" customHeight="false" outlineLevel="0" collapsed="false">
      <c r="F666" s="384" t="n">
        <f aca="false">G665*$D$4*(C666-C665)/(DATE(YEAR(C666)+1,1,1)-DATE(YEAR(C666),1,1))/100</f>
        <v>0</v>
      </c>
    </row>
    <row r="667" customFormat="false" ht="14.9" hidden="true" customHeight="false" outlineLevel="0" collapsed="false">
      <c r="F667" s="384" t="n">
        <f aca="false">G666*$D$4*(C667-C666)/(DATE(YEAR(C667)+1,1,1)-DATE(YEAR(C667),1,1))/100</f>
        <v>0</v>
      </c>
    </row>
    <row r="668" customFormat="false" ht="14.9" hidden="true" customHeight="false" outlineLevel="0" collapsed="false">
      <c r="F668" s="384" t="n">
        <f aca="false">G667*$D$4*(C668-C667)/(DATE(YEAR(C668)+1,1,1)-DATE(YEAR(C668),1,1))/100</f>
        <v>0</v>
      </c>
    </row>
    <row r="669" customFormat="false" ht="14.9" hidden="true" customHeight="false" outlineLevel="0" collapsed="false">
      <c r="F669" s="384" t="n">
        <f aca="false">G668*$D$4*(C669-C668)/(DATE(YEAR(C669)+1,1,1)-DATE(YEAR(C669),1,1))/100</f>
        <v>0</v>
      </c>
    </row>
    <row r="670" customFormat="false" ht="14.9" hidden="true" customHeight="false" outlineLevel="0" collapsed="false">
      <c r="F670" s="384" t="n">
        <f aca="false">G669*$D$4*(C670-C669)/(DATE(YEAR(C670)+1,1,1)-DATE(YEAR(C670),1,1))/100</f>
        <v>0</v>
      </c>
    </row>
    <row r="671" customFormat="false" ht="14.9" hidden="true" customHeight="false" outlineLevel="0" collapsed="false">
      <c r="F671" s="384" t="n">
        <f aca="false">G670*$D$4*(C671-C670)/(DATE(YEAR(C671)+1,1,1)-DATE(YEAR(C671),1,1))/100</f>
        <v>0</v>
      </c>
    </row>
    <row r="672" customFormat="false" ht="14.9" hidden="true" customHeight="false" outlineLevel="0" collapsed="false">
      <c r="F672" s="384" t="n">
        <f aca="false">G671*$D$4*(C672-C671)/(DATE(YEAR(C672)+1,1,1)-DATE(YEAR(C672),1,1))/100</f>
        <v>0</v>
      </c>
    </row>
    <row r="673" customFormat="false" ht="14.9" hidden="true" customHeight="false" outlineLevel="0" collapsed="false">
      <c r="F673" s="384" t="n">
        <f aca="false">G672*$D$4*(C673-C672)/(DATE(YEAR(C673)+1,1,1)-DATE(YEAR(C673),1,1))/100</f>
        <v>0</v>
      </c>
    </row>
    <row r="674" customFormat="false" ht="14.9" hidden="true" customHeight="false" outlineLevel="0" collapsed="false">
      <c r="F674" s="384" t="n">
        <f aca="false">G673*$D$4*(C674-C673)/(DATE(YEAR(C674)+1,1,1)-DATE(YEAR(C674),1,1))/100</f>
        <v>0</v>
      </c>
    </row>
    <row r="675" customFormat="false" ht="14.9" hidden="true" customHeight="false" outlineLevel="0" collapsed="false">
      <c r="F675" s="384" t="n">
        <f aca="false">G674*$D$4*(C675-C674)/(DATE(YEAR(C675)+1,1,1)-DATE(YEAR(C675),1,1))/100</f>
        <v>0</v>
      </c>
    </row>
    <row r="676" customFormat="false" ht="14.9" hidden="true" customHeight="false" outlineLevel="0" collapsed="false">
      <c r="F676" s="384" t="n">
        <f aca="false">G675*$D$4*(C676-C675)/(DATE(YEAR(C676)+1,1,1)-DATE(YEAR(C676),1,1))/100</f>
        <v>0</v>
      </c>
    </row>
    <row r="677" customFormat="false" ht="14.9" hidden="true" customHeight="false" outlineLevel="0" collapsed="false">
      <c r="F677" s="384" t="n">
        <f aca="false">G676*$D$4*(C677-C676)/(DATE(YEAR(C677)+1,1,1)-DATE(YEAR(C677),1,1))/100</f>
        <v>0</v>
      </c>
    </row>
    <row r="678" customFormat="false" ht="14.9" hidden="true" customHeight="false" outlineLevel="0" collapsed="false">
      <c r="F678" s="384" t="n">
        <f aca="false">G677*$D$4*(C678-C677)/(DATE(YEAR(C678)+1,1,1)-DATE(YEAR(C678),1,1))/100</f>
        <v>0</v>
      </c>
    </row>
    <row r="679" customFormat="false" ht="14.9" hidden="true" customHeight="false" outlineLevel="0" collapsed="false">
      <c r="F679" s="384" t="n">
        <f aca="false">G678*$D$4*(C679-C678)/(DATE(YEAR(C679)+1,1,1)-DATE(YEAR(C679),1,1))/100</f>
        <v>0</v>
      </c>
    </row>
    <row r="680" customFormat="false" ht="14.9" hidden="true" customHeight="false" outlineLevel="0" collapsed="false">
      <c r="F680" s="384" t="n">
        <f aca="false">G679*$D$4*(C680-C679)/(DATE(YEAR(C680)+1,1,1)-DATE(YEAR(C680),1,1))/100</f>
        <v>0</v>
      </c>
    </row>
    <row r="681" customFormat="false" ht="14.9" hidden="true" customHeight="false" outlineLevel="0" collapsed="false">
      <c r="F681" s="384" t="n">
        <f aca="false">G680*$D$4*(C681-C680)/(DATE(YEAR(C681)+1,1,1)-DATE(YEAR(C681),1,1))/100</f>
        <v>0</v>
      </c>
    </row>
    <row r="682" customFormat="false" ht="14.9" hidden="true" customHeight="false" outlineLevel="0" collapsed="false">
      <c r="F682" s="384" t="n">
        <f aca="false">G681*$D$4*(C682-C681)/(DATE(YEAR(C682)+1,1,1)-DATE(YEAR(C682),1,1))/100</f>
        <v>0</v>
      </c>
    </row>
    <row r="683" customFormat="false" ht="14.9" hidden="true" customHeight="false" outlineLevel="0" collapsed="false">
      <c r="F683" s="384" t="n">
        <f aca="false">G682*$D$4*(C683-C682)/(DATE(YEAR(C683)+1,1,1)-DATE(YEAR(C683),1,1))/100</f>
        <v>0</v>
      </c>
    </row>
    <row r="684" customFormat="false" ht="14.9" hidden="true" customHeight="false" outlineLevel="0" collapsed="false">
      <c r="F684" s="384" t="n">
        <f aca="false">G683*$D$4*(C684-C683)/(DATE(YEAR(C684)+1,1,1)-DATE(YEAR(C684),1,1))/100</f>
        <v>0</v>
      </c>
    </row>
    <row r="685" customFormat="false" ht="14.9" hidden="true" customHeight="false" outlineLevel="0" collapsed="false">
      <c r="F685" s="384" t="n">
        <f aca="false">G684*$D$4*(C685-C684)/(DATE(YEAR(C685)+1,1,1)-DATE(YEAR(C685),1,1))/100</f>
        <v>0</v>
      </c>
    </row>
    <row r="686" customFormat="false" ht="14.9" hidden="true" customHeight="false" outlineLevel="0" collapsed="false">
      <c r="F686" s="384" t="n">
        <f aca="false">G685*$D$4*(C686-C685)/(DATE(YEAR(C686)+1,1,1)-DATE(YEAR(C686),1,1))/100</f>
        <v>0</v>
      </c>
    </row>
    <row r="687" customFormat="false" ht="14.9" hidden="true" customHeight="false" outlineLevel="0" collapsed="false">
      <c r="F687" s="384" t="n">
        <f aca="false">G686*$D$4*(C687-C686)/(DATE(YEAR(C687)+1,1,1)-DATE(YEAR(C687),1,1))/100</f>
        <v>0</v>
      </c>
    </row>
    <row r="688" customFormat="false" ht="14.9" hidden="true" customHeight="false" outlineLevel="0" collapsed="false">
      <c r="F688" s="384" t="n">
        <f aca="false">G687*$D$4*(C688-C687)/(DATE(YEAR(C688)+1,1,1)-DATE(YEAR(C688),1,1))/100</f>
        <v>0</v>
      </c>
    </row>
    <row r="689" customFormat="false" ht="14.9" hidden="true" customHeight="false" outlineLevel="0" collapsed="false">
      <c r="F689" s="384" t="n">
        <f aca="false">G688*$D$4*(C689-C688)/(DATE(YEAR(C689)+1,1,1)-DATE(YEAR(C689),1,1))/100</f>
        <v>0</v>
      </c>
    </row>
    <row r="690" customFormat="false" ht="14.9" hidden="true" customHeight="false" outlineLevel="0" collapsed="false">
      <c r="F690" s="384" t="n">
        <f aca="false">G689*$D$4*(C690-C689)/(DATE(YEAR(C690)+1,1,1)-DATE(YEAR(C690),1,1))/100</f>
        <v>0</v>
      </c>
    </row>
    <row r="691" customFormat="false" ht="14.9" hidden="true" customHeight="false" outlineLevel="0" collapsed="false">
      <c r="F691" s="384" t="n">
        <f aca="false">G690*$D$4*(C691-C690)/(DATE(YEAR(C691)+1,1,1)-DATE(YEAR(C691),1,1))/100</f>
        <v>0</v>
      </c>
    </row>
    <row r="692" customFormat="false" ht="14.9" hidden="true" customHeight="false" outlineLevel="0" collapsed="false">
      <c r="F692" s="384" t="n">
        <f aca="false">G691*$D$4*(C692-C691)/(DATE(YEAR(C692)+1,1,1)-DATE(YEAR(C692),1,1))/100</f>
        <v>0</v>
      </c>
    </row>
    <row r="693" customFormat="false" ht="14.9" hidden="true" customHeight="false" outlineLevel="0" collapsed="false">
      <c r="F693" s="384" t="n">
        <f aca="false">G692*$D$4*(C693-C692)/(DATE(YEAR(C693)+1,1,1)-DATE(YEAR(C693),1,1))/100</f>
        <v>0</v>
      </c>
    </row>
    <row r="694" customFormat="false" ht="14.9" hidden="true" customHeight="false" outlineLevel="0" collapsed="false">
      <c r="F694" s="384" t="n">
        <f aca="false">G693*$D$4*(C694-C693)/(DATE(YEAR(C694)+1,1,1)-DATE(YEAR(C694),1,1))/100</f>
        <v>0</v>
      </c>
    </row>
    <row r="695" customFormat="false" ht="14.9" hidden="true" customHeight="false" outlineLevel="0" collapsed="false">
      <c r="F695" s="384" t="n">
        <f aca="false">G694*$D$4*(C695-C694)/(DATE(YEAR(C695)+1,1,1)-DATE(YEAR(C695),1,1))/100</f>
        <v>0</v>
      </c>
    </row>
    <row r="696" customFormat="false" ht="14.9" hidden="true" customHeight="false" outlineLevel="0" collapsed="false">
      <c r="F696" s="384" t="n">
        <f aca="false">G695*$D$4*(C696-C695)/(DATE(YEAR(C696)+1,1,1)-DATE(YEAR(C696),1,1))/100</f>
        <v>0</v>
      </c>
    </row>
    <row r="697" customFormat="false" ht="14.9" hidden="true" customHeight="false" outlineLevel="0" collapsed="false">
      <c r="F697" s="384" t="n">
        <f aca="false">G696*$D$4*(C697-C696)/(DATE(YEAR(C697)+1,1,1)-DATE(YEAR(C697),1,1))/100</f>
        <v>0</v>
      </c>
    </row>
    <row r="698" customFormat="false" ht="14.9" hidden="true" customHeight="false" outlineLevel="0" collapsed="false">
      <c r="F698" s="384" t="n">
        <f aca="false">G697*$D$4*(C698-C697)/(DATE(YEAR(C698)+1,1,1)-DATE(YEAR(C698),1,1))/100</f>
        <v>0</v>
      </c>
    </row>
    <row r="699" customFormat="false" ht="14.9" hidden="true" customHeight="false" outlineLevel="0" collapsed="false">
      <c r="F699" s="384" t="n">
        <f aca="false">G698*$D$4*(C699-C698)/(DATE(YEAR(C699)+1,1,1)-DATE(YEAR(C699),1,1))/100</f>
        <v>0</v>
      </c>
    </row>
    <row r="700" customFormat="false" ht="14.9" hidden="true" customHeight="false" outlineLevel="0" collapsed="false">
      <c r="F700" s="384" t="n">
        <f aca="false">G699*$D$4*(C700-C699)/(DATE(YEAR(C700)+1,1,1)-DATE(YEAR(C700),1,1))/100</f>
        <v>0</v>
      </c>
    </row>
    <row r="701" customFormat="false" ht="14.9" hidden="true" customHeight="false" outlineLevel="0" collapsed="false">
      <c r="F701" s="384" t="n">
        <f aca="false">G700*$D$4*(C701-C700)/(DATE(YEAR(C701)+1,1,1)-DATE(YEAR(C701),1,1))/100</f>
        <v>0</v>
      </c>
    </row>
    <row r="702" customFormat="false" ht="14.9" hidden="true" customHeight="false" outlineLevel="0" collapsed="false">
      <c r="F702" s="384" t="n">
        <f aca="false">G701*$D$4*(C702-C701)/(DATE(YEAR(C702)+1,1,1)-DATE(YEAR(C702),1,1))/100</f>
        <v>0</v>
      </c>
    </row>
    <row r="703" customFormat="false" ht="14.9" hidden="true" customHeight="false" outlineLevel="0" collapsed="false">
      <c r="F703" s="384" t="n">
        <f aca="false">G702*$D$4*(C703-C702)/(DATE(YEAR(C703)+1,1,1)-DATE(YEAR(C703),1,1))/100</f>
        <v>0</v>
      </c>
    </row>
    <row r="704" customFormat="false" ht="14.9" hidden="true" customHeight="false" outlineLevel="0" collapsed="false">
      <c r="F704" s="384" t="n">
        <f aca="false">G703*$D$4*(C704-C703)/(DATE(YEAR(C704)+1,1,1)-DATE(YEAR(C704),1,1))/100</f>
        <v>0</v>
      </c>
    </row>
    <row r="705" customFormat="false" ht="14.9" hidden="true" customHeight="false" outlineLevel="0" collapsed="false">
      <c r="F705" s="384" t="n">
        <f aca="false">G704*$D$4*(C705-C704)/(DATE(YEAR(C705)+1,1,1)-DATE(YEAR(C705),1,1))/100</f>
        <v>0</v>
      </c>
    </row>
    <row r="706" customFormat="false" ht="14.9" hidden="true" customHeight="false" outlineLevel="0" collapsed="false">
      <c r="F706" s="384" t="n">
        <f aca="false">G705*$D$4*(C706-C705)/(DATE(YEAR(C706)+1,1,1)-DATE(YEAR(C706),1,1))/100</f>
        <v>0</v>
      </c>
    </row>
    <row r="707" customFormat="false" ht="14.9" hidden="true" customHeight="false" outlineLevel="0" collapsed="false">
      <c r="F707" s="384" t="n">
        <f aca="false">G706*$D$4*(C707-C706)/(DATE(YEAR(C707)+1,1,1)-DATE(YEAR(C707),1,1))/100</f>
        <v>0</v>
      </c>
    </row>
  </sheetData>
  <mergeCells count="13">
    <mergeCell ref="A1:K1"/>
    <mergeCell ref="A3:C3"/>
    <mergeCell ref="G3:K5"/>
    <mergeCell ref="A4:C4"/>
    <mergeCell ref="A5:C5"/>
    <mergeCell ref="A6:C6"/>
    <mergeCell ref="G6:K6"/>
    <mergeCell ref="A8:A9"/>
    <mergeCell ref="B8:B9"/>
    <mergeCell ref="C8:C9"/>
    <mergeCell ref="D8:G8"/>
    <mergeCell ref="H8:K8"/>
    <mergeCell ref="L8:M8"/>
  </mergeCells>
  <conditionalFormatting sqref="A11:E610 F11:F707 G11:P610">
    <cfRule type="expression" priority="2" aboveAverage="0" equalAverage="0" bottom="0" percent="0" rank="0" text="" dxfId="853">
      <formula>IF($D11+$H11=0,1,0)</formula>
    </cfRule>
  </conditionalFormatting>
  <conditionalFormatting sqref="F3">
    <cfRule type="cellIs" priority="3" operator="greaterThan" aboveAverage="0" equalAverage="0" bottom="0" percent="0" rank="0" text="" dxfId="854">
      <formula>0</formula>
    </cfRule>
  </conditionalFormatting>
  <conditionalFormatting sqref="F4">
    <cfRule type="cellIs" priority="4" operator="greaterThan" aboveAverage="0" equalAverage="0" bottom="0" percent="0" rank="0" text="" dxfId="855">
      <formula>0</formula>
    </cfRule>
  </conditionalFormatting>
  <conditionalFormatting sqref="F5">
    <cfRule type="cellIs" priority="5" operator="greaterThan" aboveAverage="0" equalAverage="0" bottom="0" percent="0" rank="0" text="" dxfId="856">
      <formula>0</formula>
    </cfRule>
  </conditionalFormatting>
  <conditionalFormatting sqref="F6">
    <cfRule type="cellIs" priority="6" operator="greaterThan" aboveAverage="0" equalAverage="0" bottom="0" percent="0" rank="0" text="" dxfId="857">
      <formula>0</formula>
    </cfRule>
  </conditionalFormatting>
  <conditionalFormatting sqref="D3">
    <cfRule type="expression" priority="7" aboveAverage="0" equalAverage="0" bottom="0" percent="0" rank="0" text="" dxfId="858">
      <formula>$F$3</formula>
    </cfRule>
  </conditionalFormatting>
  <conditionalFormatting sqref="D4">
    <cfRule type="expression" priority="8" aboveAverage="0" equalAverage="0" bottom="0" percent="0" rank="0" text="" dxfId="859">
      <formula>$F$4</formula>
    </cfRule>
  </conditionalFormatting>
  <conditionalFormatting sqref="D5">
    <cfRule type="expression" priority="9" aboveAverage="0" equalAverage="0" bottom="0" percent="0" rank="0" text="" dxfId="860">
      <formula>$F$5</formula>
    </cfRule>
  </conditionalFormatting>
  <conditionalFormatting sqref="D6">
    <cfRule type="expression" priority="10" aboveAverage="0" equalAverage="0" bottom="0" percent="0" rank="0" text="" dxfId="861">
      <formula>$F$6</formula>
    </cfRule>
  </conditionalFormatting>
  <conditionalFormatting sqref="E3">
    <cfRule type="expression" priority="11" aboveAverage="0" equalAverage="0" bottom="0" percent="0" rank="0" text="" dxfId="862">
      <formula>$F$3=$D$3</formula>
    </cfRule>
  </conditionalFormatting>
  <conditionalFormatting sqref="E4">
    <cfRule type="expression" priority="12" aboveAverage="0" equalAverage="0" bottom="0" percent="0" rank="0" text="" dxfId="863">
      <formula>$F$4=$D$4</formula>
    </cfRule>
  </conditionalFormatting>
  <conditionalFormatting sqref="E5">
    <cfRule type="expression" priority="13" aboveAverage="0" equalAverage="0" bottom="0" percent="0" rank="0" text="" dxfId="864">
      <formula>$F$5=$D$5</formula>
    </cfRule>
  </conditionalFormatting>
  <conditionalFormatting sqref="E6">
    <cfRule type="expression" priority="14" aboveAverage="0" equalAverage="0" bottom="0" percent="0" rank="0" text="" dxfId="865">
      <formula>$F$6=$D$6</formula>
    </cfRule>
  </conditionalFormatting>
  <hyperlinks>
    <hyperlink ref="G6" location="Анализ!D17" display="Перейти к обновлению данных по кредитованию на листе &quot;Анализ&quot;"/>
  </hyperlinks>
  <printOptions headings="false" gridLines="false" gridLinesSet="true" horizontalCentered="true" verticalCentered="false"/>
  <pageMargins left="0" right="0" top="0" bottom="0" header="0.511805555555555" footer="0.511805555555555"/>
  <pageSetup paperSize="9" scale="100" firstPageNumber="0" fitToWidth="1" fitToHeight="6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BL56"/>
  <sheetViews>
    <sheetView showFormulas="false" showGridLines="true" showRowColHeaders="true" showZeros="fals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9.14453125" defaultRowHeight="13.8" zeroHeight="true" outlineLevelRow="0" outlineLevelCol="0"/>
  <cols>
    <col collapsed="false" customWidth="true" hidden="false" outlineLevel="0" max="1" min="1" style="420" width="1.71"/>
    <col collapsed="false" customWidth="false" hidden="false" outlineLevel="0" max="11" min="2" style="421" width="9.14"/>
    <col collapsed="false" customWidth="true" hidden="false" outlineLevel="0" max="12" min="12" style="421" width="1.71"/>
    <col collapsed="false" customWidth="true" hidden="false" outlineLevel="0" max="13" min="13" style="421" width="6.57"/>
    <col collapsed="false" customWidth="true" hidden="false" outlineLevel="0" max="14" min="14" style="421" width="34.71"/>
    <col collapsed="false" customWidth="true" hidden="false" outlineLevel="0" max="18" min="15" style="421" width="10.43"/>
    <col collapsed="false" customWidth="true" hidden="false" outlineLevel="0" max="19" min="19" style="421" width="12.28"/>
    <col collapsed="false" customWidth="true" hidden="false" outlineLevel="0" max="20" min="20" style="422" width="1.71"/>
    <col collapsed="false" customWidth="false" hidden="true" outlineLevel="0" max="21" min="21" style="423" width="9.14"/>
    <col collapsed="false" customWidth="true" hidden="true" outlineLevel="0" max="22" min="22" style="423" width="132.57"/>
    <col collapsed="false" customWidth="false" hidden="true" outlineLevel="0" max="64" min="23" style="423" width="9.14"/>
    <col collapsed="false" customWidth="false" hidden="true" outlineLevel="0" max="1024" min="65" style="0" width="9.14"/>
  </cols>
  <sheetData>
    <row r="1" customFormat="false" ht="24.45" hidden="false" customHeight="false" outlineLevel="0" collapsed="false">
      <c r="A1" s="424"/>
      <c r="B1" s="425" t="s">
        <v>59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</row>
    <row r="2" customFormat="false" ht="13.8" hidden="false" customHeight="false" outlineLevel="0" collapsed="false">
      <c r="A2" s="422"/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2"/>
      <c r="R2" s="422"/>
      <c r="S2" s="422"/>
    </row>
    <row r="3" customFormat="false" ht="15" hidden="false" customHeight="true" outlineLevel="0" collapsed="false">
      <c r="A3" s="422"/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6" t="s">
        <v>310</v>
      </c>
      <c r="N3" s="426"/>
      <c r="O3" s="426"/>
      <c r="P3" s="426"/>
      <c r="Q3" s="427" t="n">
        <v>0.3676</v>
      </c>
      <c r="R3" s="422"/>
      <c r="S3" s="422"/>
    </row>
    <row r="4" customFormat="false" ht="4.5" hidden="false" customHeight="true" outlineLevel="0" collapsed="false">
      <c r="A4" s="422"/>
      <c r="B4" s="422"/>
      <c r="C4" s="422"/>
      <c r="D4" s="422"/>
      <c r="E4" s="422"/>
      <c r="F4" s="422"/>
      <c r="G4" s="422"/>
      <c r="H4" s="422"/>
      <c r="I4" s="422"/>
      <c r="J4" s="422"/>
      <c r="K4" s="422"/>
      <c r="L4" s="422"/>
      <c r="M4" s="422"/>
      <c r="N4" s="422"/>
      <c r="O4" s="422"/>
      <c r="P4" s="422"/>
      <c r="Q4" s="422"/>
      <c r="R4" s="422"/>
      <c r="S4" s="422"/>
      <c r="U4" s="422"/>
      <c r="V4" s="422"/>
      <c r="W4" s="422"/>
      <c r="X4" s="422"/>
      <c r="Y4" s="422"/>
      <c r="Z4" s="422"/>
      <c r="AA4" s="422"/>
      <c r="AB4" s="422"/>
      <c r="AC4" s="422"/>
      <c r="AD4" s="422"/>
      <c r="AE4" s="422"/>
      <c r="AF4" s="422"/>
      <c r="AG4" s="422"/>
      <c r="AH4" s="422"/>
      <c r="AI4" s="422"/>
      <c r="AJ4" s="422"/>
      <c r="AK4" s="422"/>
      <c r="AL4" s="422"/>
      <c r="AM4" s="422"/>
      <c r="AN4" s="422"/>
      <c r="AO4" s="422"/>
      <c r="AP4" s="422"/>
      <c r="AQ4" s="422"/>
      <c r="AR4" s="422"/>
      <c r="AS4" s="422"/>
      <c r="AT4" s="422"/>
      <c r="AU4" s="422"/>
      <c r="AV4" s="422"/>
      <c r="AW4" s="422"/>
      <c r="AX4" s="422"/>
      <c r="AY4" s="422"/>
      <c r="AZ4" s="422"/>
      <c r="BA4" s="422"/>
      <c r="BB4" s="422"/>
      <c r="BC4" s="422"/>
      <c r="BD4" s="422"/>
      <c r="BE4" s="422"/>
      <c r="BF4" s="422"/>
      <c r="BG4" s="422"/>
      <c r="BH4" s="422"/>
      <c r="BI4" s="422"/>
      <c r="BJ4" s="422"/>
      <c r="BK4" s="422"/>
      <c r="BL4" s="422"/>
    </row>
    <row r="5" customFormat="false" ht="14.45" hidden="false" customHeight="true" outlineLevel="0" collapsed="false">
      <c r="A5" s="422"/>
      <c r="B5" s="428"/>
      <c r="C5" s="429"/>
      <c r="D5" s="429"/>
      <c r="E5" s="429"/>
      <c r="F5" s="429"/>
      <c r="G5" s="429"/>
      <c r="H5" s="429"/>
      <c r="I5" s="429"/>
      <c r="J5" s="429"/>
      <c r="K5" s="430"/>
      <c r="L5" s="422"/>
      <c r="M5" s="205" t="s">
        <v>311</v>
      </c>
      <c r="N5" s="431" t="s">
        <v>312</v>
      </c>
      <c r="O5" s="432" t="s">
        <v>313</v>
      </c>
      <c r="P5" s="433" t="str">
        <f aca="false">"Оклад, "&amp;Анализ!D6&amp;"/мес."</f>
        <v>Оклад, грн./мес.</v>
      </c>
      <c r="Q5" s="205" t="str">
        <f aca="false">"Сумма, "&amp;Анализ!D6&amp;"/мес."</f>
        <v>Сумма, грн./мес.</v>
      </c>
      <c r="R5" s="434" t="s">
        <v>314</v>
      </c>
      <c r="S5" s="435" t="str">
        <f aca="false">"Начисления на ФОТ, "&amp;Анализ!D6&amp;"/мес."</f>
        <v>Начисления на ФОТ, грн./мес.</v>
      </c>
    </row>
    <row r="6" customFormat="false" ht="14.45" hidden="false" customHeight="true" outlineLevel="0" collapsed="false">
      <c r="A6" s="422"/>
      <c r="B6" s="436"/>
      <c r="C6" s="437"/>
      <c r="D6" s="437"/>
      <c r="E6" s="437"/>
      <c r="F6" s="438" t="s">
        <v>315</v>
      </c>
      <c r="G6" s="438"/>
      <c r="H6" s="439"/>
      <c r="I6" s="437"/>
      <c r="J6" s="437"/>
      <c r="K6" s="440"/>
      <c r="L6" s="422"/>
      <c r="M6" s="205"/>
      <c r="N6" s="431"/>
      <c r="O6" s="432"/>
      <c r="P6" s="433"/>
      <c r="Q6" s="205"/>
      <c r="R6" s="434"/>
      <c r="S6" s="435"/>
    </row>
    <row r="7" customFormat="false" ht="14.45" hidden="false" customHeight="true" outlineLevel="0" collapsed="false">
      <c r="A7" s="422"/>
      <c r="B7" s="436"/>
      <c r="C7" s="437"/>
      <c r="D7" s="437"/>
      <c r="E7" s="437"/>
      <c r="F7" s="438"/>
      <c r="G7" s="438"/>
      <c r="H7" s="439"/>
      <c r="I7" s="437"/>
      <c r="J7" s="437"/>
      <c r="K7" s="440"/>
      <c r="L7" s="422"/>
      <c r="M7" s="441" t="n">
        <v>1</v>
      </c>
      <c r="N7" s="442" t="s">
        <v>315</v>
      </c>
      <c r="O7" s="443" t="n">
        <v>1</v>
      </c>
      <c r="P7" s="444" t="n">
        <v>10000</v>
      </c>
      <c r="Q7" s="445" t="n">
        <f aca="false">P7*O7</f>
        <v>10000</v>
      </c>
      <c r="R7" s="446" t="n">
        <f aca="false">IF(Q7=0,0,$Q$3)</f>
        <v>0.3676</v>
      </c>
      <c r="S7" s="447" t="n">
        <f aca="false">R7*Q7</f>
        <v>3676</v>
      </c>
    </row>
    <row r="8" customFormat="false" ht="14.45" hidden="false" customHeight="true" outlineLevel="0" collapsed="false">
      <c r="A8" s="422"/>
      <c r="B8" s="436"/>
      <c r="C8" s="437"/>
      <c r="D8" s="437"/>
      <c r="E8" s="437"/>
      <c r="F8" s="448"/>
      <c r="G8" s="449"/>
      <c r="H8" s="437"/>
      <c r="I8" s="437"/>
      <c r="J8" s="437"/>
      <c r="K8" s="440"/>
      <c r="L8" s="422"/>
      <c r="M8" s="450" t="n">
        <v>2</v>
      </c>
      <c r="N8" s="451" t="s">
        <v>238</v>
      </c>
      <c r="O8" s="452" t="n">
        <v>1</v>
      </c>
      <c r="P8" s="453" t="n">
        <v>2000</v>
      </c>
      <c r="Q8" s="454" t="n">
        <f aca="false">P8*O8</f>
        <v>2000</v>
      </c>
      <c r="R8" s="455" t="n">
        <f aca="false">IF(Q8=0,0,$Q$3)</f>
        <v>0.3676</v>
      </c>
      <c r="S8" s="456" t="n">
        <f aca="false">R8*Q8</f>
        <v>735.2</v>
      </c>
    </row>
    <row r="9" customFormat="false" ht="14.45" hidden="false" customHeight="true" outlineLevel="0" collapsed="false">
      <c r="A9" s="422"/>
      <c r="B9" s="436"/>
      <c r="C9" s="437"/>
      <c r="D9" s="438" t="s">
        <v>316</v>
      </c>
      <c r="E9" s="438"/>
      <c r="F9" s="439"/>
      <c r="G9" s="457"/>
      <c r="H9" s="437"/>
      <c r="I9" s="437"/>
      <c r="J9" s="437"/>
      <c r="K9" s="440"/>
      <c r="L9" s="422"/>
      <c r="M9" s="450" t="n">
        <v>3</v>
      </c>
      <c r="N9" s="451" t="s">
        <v>317</v>
      </c>
      <c r="O9" s="452" t="n">
        <v>2</v>
      </c>
      <c r="P9" s="453" t="n">
        <v>5000</v>
      </c>
      <c r="Q9" s="454" t="n">
        <f aca="false">P9*O9</f>
        <v>10000</v>
      </c>
      <c r="R9" s="455" t="n">
        <f aca="false">IF(Q9=0,0,$Q$3)</f>
        <v>0.3676</v>
      </c>
      <c r="S9" s="456" t="n">
        <f aca="false">R9*Q9</f>
        <v>3676</v>
      </c>
    </row>
    <row r="10" customFormat="false" ht="14.45" hidden="false" customHeight="true" outlineLevel="0" collapsed="false">
      <c r="A10" s="422"/>
      <c r="B10" s="436"/>
      <c r="C10" s="437"/>
      <c r="D10" s="438"/>
      <c r="E10" s="438"/>
      <c r="F10" s="458"/>
      <c r="G10" s="457"/>
      <c r="H10" s="437"/>
      <c r="I10" s="437"/>
      <c r="J10" s="437"/>
      <c r="K10" s="440"/>
      <c r="L10" s="422"/>
      <c r="M10" s="450" t="n">
        <v>4</v>
      </c>
      <c r="N10" s="451" t="s">
        <v>318</v>
      </c>
      <c r="O10" s="452" t="n">
        <v>2</v>
      </c>
      <c r="P10" s="453" t="n">
        <v>3500</v>
      </c>
      <c r="Q10" s="454" t="n">
        <f aca="false">P10*O10</f>
        <v>7000</v>
      </c>
      <c r="R10" s="455" t="n">
        <f aca="false">IF(Q10=0,0,$Q$3)</f>
        <v>0.3676</v>
      </c>
      <c r="S10" s="456" t="n">
        <f aca="false">R10*Q10</f>
        <v>2573.2</v>
      </c>
    </row>
    <row r="11" customFormat="false" ht="14.45" hidden="false" customHeight="true" outlineLevel="0" collapsed="false">
      <c r="A11" s="422"/>
      <c r="B11" s="436"/>
      <c r="C11" s="437"/>
      <c r="D11" s="437"/>
      <c r="E11" s="437"/>
      <c r="F11" s="459"/>
      <c r="G11" s="460"/>
      <c r="H11" s="437"/>
      <c r="I11" s="437"/>
      <c r="J11" s="437"/>
      <c r="K11" s="440"/>
      <c r="L11" s="422"/>
      <c r="M11" s="450" t="n">
        <v>5</v>
      </c>
      <c r="N11" s="451" t="s">
        <v>319</v>
      </c>
      <c r="O11" s="452" t="n">
        <v>2</v>
      </c>
      <c r="P11" s="453" t="n">
        <v>3500</v>
      </c>
      <c r="Q11" s="454" t="n">
        <f aca="false">P11*O11</f>
        <v>7000</v>
      </c>
      <c r="R11" s="455" t="n">
        <f aca="false">IF(Q11=0,0,$Q$3)</f>
        <v>0.3676</v>
      </c>
      <c r="S11" s="456" t="n">
        <f aca="false">R11*Q11</f>
        <v>2573.2</v>
      </c>
    </row>
    <row r="12" customFormat="false" ht="14.45" hidden="false" customHeight="true" outlineLevel="0" collapsed="false">
      <c r="A12" s="422"/>
      <c r="B12" s="436"/>
      <c r="C12" s="437"/>
      <c r="D12" s="437"/>
      <c r="E12" s="437"/>
      <c r="F12" s="438" t="s">
        <v>317</v>
      </c>
      <c r="G12" s="438"/>
      <c r="H12" s="437"/>
      <c r="I12" s="437"/>
      <c r="J12" s="437"/>
      <c r="K12" s="440"/>
      <c r="L12" s="422"/>
      <c r="M12" s="450" t="n">
        <v>6</v>
      </c>
      <c r="N12" s="461"/>
      <c r="O12" s="452"/>
      <c r="P12" s="453"/>
      <c r="Q12" s="454" t="n">
        <f aca="false">P12*O12</f>
        <v>0</v>
      </c>
      <c r="R12" s="455" t="n">
        <f aca="false">IF(Q12=0,0,$Q$3)</f>
        <v>0</v>
      </c>
      <c r="S12" s="456" t="n">
        <f aca="false">R12*Q12</f>
        <v>0</v>
      </c>
    </row>
    <row r="13" customFormat="false" ht="14.45" hidden="false" customHeight="true" outlineLevel="0" collapsed="false">
      <c r="A13" s="422"/>
      <c r="B13" s="436"/>
      <c r="C13" s="437"/>
      <c r="D13" s="437"/>
      <c r="E13" s="437"/>
      <c r="F13" s="438"/>
      <c r="G13" s="438"/>
      <c r="H13" s="437"/>
      <c r="I13" s="437"/>
      <c r="J13" s="437"/>
      <c r="K13" s="440"/>
      <c r="L13" s="422"/>
      <c r="M13" s="450" t="n">
        <v>7</v>
      </c>
      <c r="N13" s="461"/>
      <c r="O13" s="452"/>
      <c r="P13" s="453"/>
      <c r="Q13" s="454" t="n">
        <f aca="false">P13*O13</f>
        <v>0</v>
      </c>
      <c r="R13" s="455" t="n">
        <f aca="false">IF(Q13=0,0,$Q$3)</f>
        <v>0</v>
      </c>
      <c r="S13" s="456" t="n">
        <f aca="false">R13*Q13</f>
        <v>0</v>
      </c>
    </row>
    <row r="14" customFormat="false" ht="14.45" hidden="false" customHeight="true" outlineLevel="0" collapsed="false">
      <c r="A14" s="422"/>
      <c r="B14" s="436"/>
      <c r="C14" s="437"/>
      <c r="D14" s="437"/>
      <c r="E14" s="437"/>
      <c r="F14" s="462"/>
      <c r="G14" s="437"/>
      <c r="H14" s="463"/>
      <c r="I14" s="437"/>
      <c r="J14" s="437"/>
      <c r="K14" s="440"/>
      <c r="L14" s="422"/>
      <c r="M14" s="450" t="n">
        <v>8</v>
      </c>
      <c r="N14" s="461"/>
      <c r="O14" s="452"/>
      <c r="P14" s="453"/>
      <c r="Q14" s="454" t="n">
        <f aca="false">P14*O14</f>
        <v>0</v>
      </c>
      <c r="R14" s="455" t="n">
        <f aca="false">IF(Q14=0,0,$Q$3)</f>
        <v>0</v>
      </c>
      <c r="S14" s="456" t="n">
        <f aca="false">R14*Q14</f>
        <v>0</v>
      </c>
    </row>
    <row r="15" customFormat="false" ht="14.45" hidden="false" customHeight="true" outlineLevel="0" collapsed="false">
      <c r="A15" s="422"/>
      <c r="B15" s="436"/>
      <c r="C15" s="437"/>
      <c r="D15" s="437"/>
      <c r="E15" s="464"/>
      <c r="F15" s="465"/>
      <c r="G15" s="465"/>
      <c r="H15" s="437"/>
      <c r="I15" s="460"/>
      <c r="J15" s="437"/>
      <c r="K15" s="440"/>
      <c r="L15" s="422"/>
      <c r="M15" s="450" t="n">
        <v>9</v>
      </c>
      <c r="N15" s="461"/>
      <c r="O15" s="452"/>
      <c r="P15" s="453"/>
      <c r="Q15" s="454" t="n">
        <f aca="false">P15*O15</f>
        <v>0</v>
      </c>
      <c r="R15" s="455" t="n">
        <f aca="false">IF(Q15=0,0,$Q$3)</f>
        <v>0</v>
      </c>
      <c r="S15" s="456" t="n">
        <f aca="false">R15*Q15</f>
        <v>0</v>
      </c>
    </row>
    <row r="16" customFormat="false" ht="14.45" hidden="false" customHeight="true" outlineLevel="0" collapsed="false">
      <c r="A16" s="422"/>
      <c r="B16" s="436"/>
      <c r="C16" s="466"/>
      <c r="D16" s="467" t="s">
        <v>318</v>
      </c>
      <c r="E16" s="467"/>
      <c r="F16" s="466"/>
      <c r="G16" s="468"/>
      <c r="H16" s="467" t="s">
        <v>319</v>
      </c>
      <c r="I16" s="467"/>
      <c r="J16" s="466"/>
      <c r="K16" s="440"/>
      <c r="L16" s="422"/>
      <c r="M16" s="450" t="n">
        <v>10</v>
      </c>
      <c r="N16" s="461"/>
      <c r="O16" s="452"/>
      <c r="P16" s="453"/>
      <c r="Q16" s="454" t="n">
        <f aca="false">P16*O16</f>
        <v>0</v>
      </c>
      <c r="R16" s="455" t="n">
        <f aca="false">IF(Q16=0,0,$Q$3)</f>
        <v>0</v>
      </c>
      <c r="S16" s="456" t="n">
        <f aca="false">R16*Q16</f>
        <v>0</v>
      </c>
    </row>
    <row r="17" customFormat="false" ht="14.45" hidden="false" customHeight="true" outlineLevel="0" collapsed="false">
      <c r="A17" s="422"/>
      <c r="B17" s="436"/>
      <c r="C17" s="466"/>
      <c r="D17" s="467"/>
      <c r="E17" s="467"/>
      <c r="F17" s="466"/>
      <c r="G17" s="468"/>
      <c r="H17" s="467"/>
      <c r="I17" s="467"/>
      <c r="J17" s="466"/>
      <c r="K17" s="440"/>
      <c r="L17" s="422"/>
      <c r="M17" s="450" t="n">
        <v>11</v>
      </c>
      <c r="N17" s="461"/>
      <c r="O17" s="452"/>
      <c r="P17" s="453"/>
      <c r="Q17" s="454" t="n">
        <f aca="false">P17*O17</f>
        <v>0</v>
      </c>
      <c r="R17" s="455" t="n">
        <f aca="false">IF(Q17=0,0,$Q$3)</f>
        <v>0</v>
      </c>
      <c r="S17" s="456" t="n">
        <f aca="false">R17*Q17</f>
        <v>0</v>
      </c>
    </row>
    <row r="18" customFormat="false" ht="14.45" hidden="false" customHeight="true" outlineLevel="0" collapsed="false">
      <c r="A18" s="422"/>
      <c r="B18" s="436"/>
      <c r="C18" s="437"/>
      <c r="D18" s="437"/>
      <c r="E18" s="437"/>
      <c r="F18" s="437"/>
      <c r="G18" s="437"/>
      <c r="H18" s="437"/>
      <c r="I18" s="437"/>
      <c r="J18" s="437"/>
      <c r="K18" s="440"/>
      <c r="L18" s="422"/>
      <c r="M18" s="450" t="n">
        <v>12</v>
      </c>
      <c r="N18" s="461"/>
      <c r="O18" s="452"/>
      <c r="P18" s="453"/>
      <c r="Q18" s="454" t="n">
        <f aca="false">P18*O18</f>
        <v>0</v>
      </c>
      <c r="R18" s="455" t="n">
        <f aca="false">IF(Q18=0,0,$Q$3)</f>
        <v>0</v>
      </c>
      <c r="S18" s="456" t="n">
        <f aca="false">R18*Q18</f>
        <v>0</v>
      </c>
    </row>
    <row r="19" customFormat="false" ht="14.45" hidden="false" customHeight="true" outlineLevel="0" collapsed="false">
      <c r="A19" s="422"/>
      <c r="B19" s="436"/>
      <c r="C19" s="437"/>
      <c r="D19" s="437"/>
      <c r="E19" s="437"/>
      <c r="F19" s="437"/>
      <c r="G19" s="437"/>
      <c r="H19" s="437"/>
      <c r="I19" s="437"/>
      <c r="J19" s="437"/>
      <c r="K19" s="440"/>
      <c r="L19" s="422"/>
      <c r="M19" s="450" t="n">
        <v>13</v>
      </c>
      <c r="N19" s="461"/>
      <c r="O19" s="452"/>
      <c r="P19" s="453"/>
      <c r="Q19" s="454" t="n">
        <f aca="false">P19*O19</f>
        <v>0</v>
      </c>
      <c r="R19" s="455" t="n">
        <f aca="false">IF(Q19=0,0,$Q$3)</f>
        <v>0</v>
      </c>
      <c r="S19" s="456" t="n">
        <f aca="false">R19*Q19</f>
        <v>0</v>
      </c>
    </row>
    <row r="20" customFormat="false" ht="14.45" hidden="false" customHeight="true" outlineLevel="0" collapsed="false">
      <c r="A20" s="422"/>
      <c r="B20" s="436"/>
      <c r="C20" s="437"/>
      <c r="D20" s="437"/>
      <c r="E20" s="437"/>
      <c r="F20" s="437"/>
      <c r="G20" s="437"/>
      <c r="H20" s="437"/>
      <c r="I20" s="437"/>
      <c r="J20" s="437"/>
      <c r="K20" s="440"/>
      <c r="L20" s="422"/>
      <c r="M20" s="450" t="n">
        <v>14</v>
      </c>
      <c r="N20" s="461"/>
      <c r="O20" s="452"/>
      <c r="P20" s="453"/>
      <c r="Q20" s="454" t="n">
        <f aca="false">P20*O20</f>
        <v>0</v>
      </c>
      <c r="R20" s="455" t="n">
        <f aca="false">IF(Q20=0,0,$Q$3)</f>
        <v>0</v>
      </c>
      <c r="S20" s="456" t="n">
        <f aca="false">R20*Q20</f>
        <v>0</v>
      </c>
    </row>
    <row r="21" customFormat="false" ht="14.45" hidden="false" customHeight="true" outlineLevel="0" collapsed="false">
      <c r="A21" s="422"/>
      <c r="B21" s="436"/>
      <c r="C21" s="437"/>
      <c r="D21" s="437"/>
      <c r="E21" s="437"/>
      <c r="F21" s="437"/>
      <c r="G21" s="437"/>
      <c r="H21" s="437"/>
      <c r="I21" s="437"/>
      <c r="J21" s="437"/>
      <c r="K21" s="440"/>
      <c r="L21" s="422"/>
      <c r="M21" s="450" t="n">
        <v>15</v>
      </c>
      <c r="N21" s="461"/>
      <c r="O21" s="452"/>
      <c r="P21" s="453"/>
      <c r="Q21" s="454" t="n">
        <f aca="false">P21*O21</f>
        <v>0</v>
      </c>
      <c r="R21" s="455" t="n">
        <f aca="false">IF(Q21=0,0,$Q$3)</f>
        <v>0</v>
      </c>
      <c r="S21" s="456" t="n">
        <f aca="false">R21*Q21</f>
        <v>0</v>
      </c>
    </row>
    <row r="22" customFormat="false" ht="14.45" hidden="false" customHeight="true" outlineLevel="0" collapsed="false">
      <c r="A22" s="422"/>
      <c r="B22" s="436"/>
      <c r="C22" s="437"/>
      <c r="D22" s="437"/>
      <c r="E22" s="437"/>
      <c r="F22" s="437"/>
      <c r="G22" s="437"/>
      <c r="H22" s="437"/>
      <c r="I22" s="437"/>
      <c r="J22" s="437"/>
      <c r="K22" s="440"/>
      <c r="L22" s="422"/>
      <c r="M22" s="450" t="n">
        <v>16</v>
      </c>
      <c r="N22" s="461"/>
      <c r="O22" s="452"/>
      <c r="P22" s="453"/>
      <c r="Q22" s="454" t="n">
        <f aca="false">P22*O22</f>
        <v>0</v>
      </c>
      <c r="R22" s="455" t="n">
        <f aca="false">IF(Q22=0,0,$Q$3)</f>
        <v>0</v>
      </c>
      <c r="S22" s="456" t="n">
        <f aca="false">R22*Q22</f>
        <v>0</v>
      </c>
    </row>
    <row r="23" customFormat="false" ht="14.45" hidden="false" customHeight="true" outlineLevel="0" collapsed="false">
      <c r="A23" s="422"/>
      <c r="B23" s="436"/>
      <c r="C23" s="437"/>
      <c r="D23" s="437"/>
      <c r="E23" s="437"/>
      <c r="F23" s="437"/>
      <c r="G23" s="437"/>
      <c r="H23" s="437"/>
      <c r="I23" s="437"/>
      <c r="J23" s="437"/>
      <c r="K23" s="440"/>
      <c r="L23" s="422"/>
      <c r="M23" s="450" t="n">
        <v>17</v>
      </c>
      <c r="N23" s="461"/>
      <c r="O23" s="452"/>
      <c r="P23" s="453"/>
      <c r="Q23" s="454" t="n">
        <f aca="false">P23*O23</f>
        <v>0</v>
      </c>
      <c r="R23" s="455" t="n">
        <f aca="false">IF(Q23=0,0,$Q$3)</f>
        <v>0</v>
      </c>
      <c r="S23" s="456" t="n">
        <f aca="false">R23*Q23</f>
        <v>0</v>
      </c>
    </row>
    <row r="24" customFormat="false" ht="14.45" hidden="false" customHeight="true" outlineLevel="0" collapsed="false">
      <c r="A24" s="422"/>
      <c r="B24" s="436"/>
      <c r="C24" s="437"/>
      <c r="D24" s="437"/>
      <c r="E24" s="437"/>
      <c r="F24" s="437"/>
      <c r="G24" s="437"/>
      <c r="H24" s="437"/>
      <c r="I24" s="437"/>
      <c r="J24" s="437"/>
      <c r="K24" s="440"/>
      <c r="L24" s="422"/>
      <c r="M24" s="450" t="n">
        <v>18</v>
      </c>
      <c r="N24" s="461"/>
      <c r="O24" s="452"/>
      <c r="P24" s="453"/>
      <c r="Q24" s="454" t="n">
        <f aca="false">P24*O24</f>
        <v>0</v>
      </c>
      <c r="R24" s="455" t="n">
        <f aca="false">IF(Q24=0,0,$Q$3)</f>
        <v>0</v>
      </c>
      <c r="S24" s="456" t="n">
        <f aca="false">R24*Q24</f>
        <v>0</v>
      </c>
    </row>
    <row r="25" customFormat="false" ht="14.45" hidden="false" customHeight="true" outlineLevel="0" collapsed="false">
      <c r="A25" s="422"/>
      <c r="B25" s="436"/>
      <c r="C25" s="437"/>
      <c r="D25" s="437"/>
      <c r="E25" s="437"/>
      <c r="F25" s="437"/>
      <c r="G25" s="437"/>
      <c r="H25" s="437"/>
      <c r="I25" s="437"/>
      <c r="J25" s="437"/>
      <c r="K25" s="440"/>
      <c r="L25" s="422"/>
      <c r="M25" s="450" t="n">
        <v>19</v>
      </c>
      <c r="N25" s="461"/>
      <c r="O25" s="452"/>
      <c r="P25" s="453"/>
      <c r="Q25" s="454" t="n">
        <f aca="false">P25*O25</f>
        <v>0</v>
      </c>
      <c r="R25" s="455" t="n">
        <f aca="false">IF(Q25=0,0,$Q$3)</f>
        <v>0</v>
      </c>
      <c r="S25" s="456" t="n">
        <f aca="false">R25*Q25</f>
        <v>0</v>
      </c>
    </row>
    <row r="26" customFormat="false" ht="14.45" hidden="false" customHeight="true" outlineLevel="0" collapsed="false">
      <c r="A26" s="422"/>
      <c r="B26" s="436"/>
      <c r="C26" s="437"/>
      <c r="D26" s="437"/>
      <c r="E26" s="437"/>
      <c r="F26" s="437"/>
      <c r="G26" s="437"/>
      <c r="H26" s="437"/>
      <c r="I26" s="437"/>
      <c r="J26" s="437"/>
      <c r="K26" s="440"/>
      <c r="L26" s="422"/>
      <c r="M26" s="469" t="n">
        <v>20</v>
      </c>
      <c r="N26" s="461"/>
      <c r="O26" s="452"/>
      <c r="P26" s="453"/>
      <c r="Q26" s="454" t="n">
        <f aca="false">P26*O26</f>
        <v>0</v>
      </c>
      <c r="R26" s="470" t="n">
        <f aca="false">IF(Q26=0,0,$Q$3)</f>
        <v>0</v>
      </c>
      <c r="S26" s="471" t="n">
        <f aca="false">R26*Q26</f>
        <v>0</v>
      </c>
    </row>
    <row r="27" customFormat="false" ht="14.45" hidden="false" customHeight="true" outlineLevel="0" collapsed="false">
      <c r="A27" s="422"/>
      <c r="B27" s="472"/>
      <c r="C27" s="473"/>
      <c r="D27" s="473"/>
      <c r="E27" s="473"/>
      <c r="F27" s="473"/>
      <c r="G27" s="473"/>
      <c r="H27" s="473"/>
      <c r="I27" s="473"/>
      <c r="J27" s="473"/>
      <c r="K27" s="474"/>
      <c r="L27" s="422"/>
      <c r="M27" s="475"/>
      <c r="N27" s="476" t="s">
        <v>320</v>
      </c>
      <c r="O27" s="477" t="n">
        <f aca="false">SUM(O7:O26)</f>
        <v>8</v>
      </c>
      <c r="P27" s="478"/>
      <c r="Q27" s="169" t="n">
        <f aca="false">SUM(Q7:Q26)</f>
        <v>36000</v>
      </c>
      <c r="R27" s="479"/>
      <c r="S27" s="480" t="n">
        <f aca="false">SUM(S7:S26)</f>
        <v>13233.6</v>
      </c>
    </row>
    <row r="28" customFormat="false" ht="6" hidden="false" customHeight="true" outlineLevel="0" collapsed="false">
      <c r="A28" s="422"/>
      <c r="B28" s="422"/>
      <c r="C28" s="422"/>
      <c r="D28" s="422"/>
      <c r="E28" s="422"/>
      <c r="F28" s="422"/>
      <c r="G28" s="422"/>
      <c r="H28" s="422"/>
      <c r="I28" s="422"/>
      <c r="J28" s="422"/>
      <c r="K28" s="422"/>
      <c r="L28" s="422"/>
      <c r="M28" s="481"/>
      <c r="N28" s="482"/>
      <c r="O28" s="481"/>
      <c r="P28" s="481"/>
      <c r="Q28" s="483"/>
      <c r="R28" s="483"/>
      <c r="S28" s="483"/>
    </row>
    <row r="29" customFormat="false" ht="16.15" hidden="false" customHeight="false" outlineLevel="0" collapsed="false">
      <c r="A29" s="422"/>
      <c r="B29" s="484" t="s">
        <v>321</v>
      </c>
      <c r="C29" s="484"/>
      <c r="D29" s="484"/>
      <c r="E29" s="484"/>
      <c r="F29" s="422"/>
      <c r="G29" s="422"/>
      <c r="H29" s="422"/>
      <c r="I29" s="422"/>
      <c r="J29" s="422"/>
      <c r="K29" s="422"/>
      <c r="L29" s="422"/>
      <c r="M29" s="422"/>
      <c r="N29" s="422"/>
      <c r="O29" s="422"/>
      <c r="P29" s="422"/>
      <c r="Q29" s="422"/>
      <c r="R29" s="422"/>
      <c r="S29" s="422"/>
    </row>
    <row r="30" customFormat="false" ht="13.8" hidden="false" customHeight="false" outlineLevel="0" collapsed="false">
      <c r="A30" s="422"/>
      <c r="B30" s="485" t="s">
        <v>312</v>
      </c>
      <c r="C30" s="485"/>
      <c r="D30" s="485"/>
      <c r="E30" s="485"/>
      <c r="F30" s="485" t="s">
        <v>322</v>
      </c>
      <c r="G30" s="485"/>
      <c r="H30" s="485"/>
      <c r="I30" s="485"/>
      <c r="J30" s="485"/>
      <c r="K30" s="485"/>
      <c r="L30" s="485"/>
      <c r="M30" s="485"/>
      <c r="N30" s="485"/>
      <c r="O30" s="485"/>
      <c r="P30" s="485"/>
      <c r="Q30" s="485"/>
      <c r="R30" s="485"/>
      <c r="S30" s="485"/>
    </row>
    <row r="31" customFormat="false" ht="68.65" hidden="false" customHeight="true" outlineLevel="0" collapsed="false">
      <c r="A31" s="422"/>
      <c r="B31" s="486" t="str">
        <f aca="false">N7</f>
        <v>Директор</v>
      </c>
      <c r="C31" s="486"/>
      <c r="D31" s="486"/>
      <c r="E31" s="486"/>
      <c r="F31" s="487" t="s">
        <v>323</v>
      </c>
      <c r="G31" s="487"/>
      <c r="H31" s="487"/>
      <c r="I31" s="487"/>
      <c r="J31" s="487"/>
      <c r="K31" s="487"/>
      <c r="L31" s="487"/>
      <c r="M31" s="487"/>
      <c r="N31" s="487"/>
      <c r="O31" s="487"/>
      <c r="P31" s="487"/>
      <c r="Q31" s="487"/>
      <c r="R31" s="487"/>
      <c r="S31" s="487"/>
      <c r="V31" s="488" t="str">
        <f aca="false">F31</f>
        <v>Управляет всем бизнесом, осуществляет найм сотрудников, отвечает за разработку и реализацию стратегии развития, решает все организационные вопросы, организовывает работу персонала на первоначальном этапе и контролирует их эффективное взаимодействие, осуществляет контроль над финансовыми потоками, общается с проверяющими и контролирующими органами, ведет активную работу по выявлению тенденций роста продаж и выполняет анализ полученных данных, ведет деятельность по оптимизации расходов предприятия, составляет и планирует бюджет.</v>
      </c>
      <c r="X31" s="489"/>
    </row>
    <row r="32" customFormat="false" ht="14.9" hidden="false" customHeight="true" outlineLevel="0" collapsed="false">
      <c r="A32" s="422"/>
      <c r="B32" s="486" t="str">
        <f aca="false">N8</f>
        <v>Бухгалтер (0,5 ставки)</v>
      </c>
      <c r="C32" s="486"/>
      <c r="D32" s="486"/>
      <c r="E32" s="486"/>
      <c r="F32" s="487" t="s">
        <v>324</v>
      </c>
      <c r="G32" s="487"/>
      <c r="H32" s="487"/>
      <c r="I32" s="487"/>
      <c r="J32" s="487"/>
      <c r="K32" s="487"/>
      <c r="L32" s="487"/>
      <c r="M32" s="487"/>
      <c r="N32" s="487"/>
      <c r="O32" s="487"/>
      <c r="P32" s="487"/>
      <c r="Q32" s="487"/>
      <c r="R32" s="487"/>
      <c r="S32" s="487"/>
      <c r="V32" s="488" t="str">
        <f aca="false">F32</f>
        <v>Выполняет подготовку финансовой отчетности и обеспечивает ее своевременную сдачу в контролирующие органы</v>
      </c>
    </row>
    <row r="33" customFormat="false" ht="28.35" hidden="false" customHeight="true" outlineLevel="0" collapsed="false">
      <c r="A33" s="422"/>
      <c r="B33" s="486" t="str">
        <f aca="false">N9</f>
        <v>Пиццмейкер</v>
      </c>
      <c r="C33" s="486"/>
      <c r="D33" s="486"/>
      <c r="E33" s="486"/>
      <c r="F33" s="487" t="s">
        <v>325</v>
      </c>
      <c r="G33" s="487"/>
      <c r="H33" s="487"/>
      <c r="I33" s="487"/>
      <c r="J33" s="487"/>
      <c r="K33" s="487"/>
      <c r="L33" s="487"/>
      <c r="M33" s="487"/>
      <c r="N33" s="487"/>
      <c r="O33" s="487"/>
      <c r="P33" s="487"/>
      <c r="Q33" s="487"/>
      <c r="R33" s="487"/>
      <c r="S33" s="487"/>
      <c r="V33" s="488" t="str">
        <f aca="false">F33</f>
        <v>Приготовление пиццы, контроль деятельности своих помощников и организация эффективной работы на кухне в свою смену, контроль над использованием продуктов и заказ необходимых продуктов, уборка помещения после смены</v>
      </c>
    </row>
    <row r="34" customFormat="false" ht="28.35" hidden="false" customHeight="true" outlineLevel="0" collapsed="false">
      <c r="A34" s="422"/>
      <c r="B34" s="486" t="str">
        <f aca="false">N10</f>
        <v>Помощник пиццмейкера-повар</v>
      </c>
      <c r="C34" s="486"/>
      <c r="D34" s="486"/>
      <c r="E34" s="486"/>
      <c r="F34" s="487" t="s">
        <v>326</v>
      </c>
      <c r="G34" s="487"/>
      <c r="H34" s="487"/>
      <c r="I34" s="487"/>
      <c r="J34" s="487"/>
      <c r="K34" s="487"/>
      <c r="L34" s="487"/>
      <c r="M34" s="487"/>
      <c r="N34" s="487"/>
      <c r="O34" s="487"/>
      <c r="P34" s="487"/>
      <c r="Q34" s="487"/>
      <c r="R34" s="487"/>
      <c r="S34" s="487"/>
      <c r="V34" s="488" t="str">
        <f aca="false">F34</f>
        <v>Помощь пиццмейкеру на кухне (подготовка теста, нарезка ингредиентов, мытье посуды и т.д.), выполняет все указания пиццмейкера, следит за чистотой в всем помещении, уборка помещения после смены</v>
      </c>
    </row>
    <row r="35" customFormat="false" ht="28.35" hidden="false" customHeight="true" outlineLevel="0" collapsed="false">
      <c r="A35" s="422"/>
      <c r="B35" s="486" t="str">
        <f aca="false">N11</f>
        <v>Помощник пиццмейкера-кассир</v>
      </c>
      <c r="C35" s="486"/>
      <c r="D35" s="486"/>
      <c r="E35" s="486"/>
      <c r="F35" s="487" t="s">
        <v>327</v>
      </c>
      <c r="G35" s="487"/>
      <c r="H35" s="487"/>
      <c r="I35" s="487"/>
      <c r="J35" s="487"/>
      <c r="K35" s="487"/>
      <c r="L35" s="487"/>
      <c r="M35" s="487"/>
      <c r="N35" s="487"/>
      <c r="O35" s="487"/>
      <c r="P35" s="487"/>
      <c r="Q35" s="487"/>
      <c r="R35" s="487"/>
      <c r="S35" s="487"/>
      <c r="V35" s="488" t="str">
        <f aca="false">F35</f>
        <v>Помощь пиццмейкеру с подготовкой упаковки для пиццы, прием заказов и оплаты от клиента, следит за порядком в зале с посетителями, уборка помещения после смены</v>
      </c>
    </row>
    <row r="36" customFormat="false" ht="14.9" hidden="false" customHeight="false" outlineLevel="0" collapsed="false">
      <c r="A36" s="422"/>
      <c r="B36" s="486" t="n">
        <f aca="false">N12</f>
        <v>0</v>
      </c>
      <c r="C36" s="486"/>
      <c r="D36" s="486"/>
      <c r="E36" s="486"/>
      <c r="F36" s="487"/>
      <c r="G36" s="487"/>
      <c r="H36" s="487"/>
      <c r="I36" s="487"/>
      <c r="J36" s="487"/>
      <c r="K36" s="487"/>
      <c r="L36" s="487"/>
      <c r="M36" s="487"/>
      <c r="N36" s="487"/>
      <c r="O36" s="487"/>
      <c r="P36" s="487"/>
      <c r="Q36" s="487"/>
      <c r="R36" s="487"/>
      <c r="S36" s="487"/>
      <c r="V36" s="488" t="n">
        <f aca="false">F36</f>
        <v>0</v>
      </c>
    </row>
    <row r="37" customFormat="false" ht="15" hidden="false" customHeight="true" outlineLevel="0" collapsed="false">
      <c r="A37" s="422"/>
      <c r="B37" s="486" t="n">
        <f aca="false">N13</f>
        <v>0</v>
      </c>
      <c r="C37" s="486"/>
      <c r="D37" s="486"/>
      <c r="E37" s="486"/>
      <c r="F37" s="487"/>
      <c r="G37" s="487"/>
      <c r="H37" s="487"/>
      <c r="I37" s="487"/>
      <c r="J37" s="487"/>
      <c r="K37" s="487"/>
      <c r="L37" s="487"/>
      <c r="M37" s="487"/>
      <c r="N37" s="487"/>
      <c r="O37" s="487"/>
      <c r="P37" s="487"/>
      <c r="Q37" s="487"/>
      <c r="R37" s="487"/>
      <c r="S37" s="487"/>
      <c r="V37" s="488" t="n">
        <f aca="false">F37</f>
        <v>0</v>
      </c>
    </row>
    <row r="38" customFormat="false" ht="15" hidden="false" customHeight="true" outlineLevel="0" collapsed="false">
      <c r="A38" s="422"/>
      <c r="B38" s="486" t="n">
        <f aca="false">N14</f>
        <v>0</v>
      </c>
      <c r="C38" s="486"/>
      <c r="D38" s="486"/>
      <c r="E38" s="486"/>
      <c r="F38" s="487"/>
      <c r="G38" s="487"/>
      <c r="H38" s="487"/>
      <c r="I38" s="487"/>
      <c r="J38" s="487"/>
      <c r="K38" s="487"/>
      <c r="L38" s="487"/>
      <c r="M38" s="487"/>
      <c r="N38" s="487"/>
      <c r="O38" s="487"/>
      <c r="P38" s="487"/>
      <c r="Q38" s="487"/>
      <c r="R38" s="487"/>
      <c r="S38" s="487"/>
      <c r="V38" s="488" t="n">
        <f aca="false">F38</f>
        <v>0</v>
      </c>
    </row>
    <row r="39" customFormat="false" ht="15" hidden="false" customHeight="true" outlineLevel="0" collapsed="false">
      <c r="A39" s="422"/>
      <c r="B39" s="486" t="n">
        <f aca="false">N15</f>
        <v>0</v>
      </c>
      <c r="C39" s="486"/>
      <c r="D39" s="486"/>
      <c r="E39" s="486"/>
      <c r="F39" s="487"/>
      <c r="G39" s="487"/>
      <c r="H39" s="487"/>
      <c r="I39" s="487"/>
      <c r="J39" s="487"/>
      <c r="K39" s="487"/>
      <c r="L39" s="487"/>
      <c r="M39" s="487"/>
      <c r="N39" s="487"/>
      <c r="O39" s="487"/>
      <c r="P39" s="487"/>
      <c r="Q39" s="487"/>
      <c r="R39" s="487"/>
      <c r="S39" s="487"/>
      <c r="V39" s="488" t="n">
        <f aca="false">F39</f>
        <v>0</v>
      </c>
    </row>
    <row r="40" customFormat="false" ht="15" hidden="false" customHeight="true" outlineLevel="0" collapsed="false">
      <c r="A40" s="422"/>
      <c r="B40" s="486" t="n">
        <f aca="false">N16</f>
        <v>0</v>
      </c>
      <c r="C40" s="486"/>
      <c r="D40" s="486"/>
      <c r="E40" s="486"/>
      <c r="F40" s="487"/>
      <c r="G40" s="487"/>
      <c r="H40" s="487"/>
      <c r="I40" s="487"/>
      <c r="J40" s="487"/>
      <c r="K40" s="487"/>
      <c r="L40" s="487"/>
      <c r="M40" s="487"/>
      <c r="N40" s="487"/>
      <c r="O40" s="487"/>
      <c r="P40" s="487"/>
      <c r="Q40" s="487"/>
      <c r="R40" s="487"/>
      <c r="S40" s="487"/>
      <c r="V40" s="488" t="n">
        <f aca="false">F40</f>
        <v>0</v>
      </c>
    </row>
    <row r="41" customFormat="false" ht="15" hidden="false" customHeight="true" outlineLevel="0" collapsed="false">
      <c r="A41" s="422"/>
      <c r="B41" s="486" t="n">
        <f aca="false">N17</f>
        <v>0</v>
      </c>
      <c r="C41" s="486"/>
      <c r="D41" s="486"/>
      <c r="E41" s="486"/>
      <c r="F41" s="487"/>
      <c r="G41" s="487"/>
      <c r="H41" s="487"/>
      <c r="I41" s="487"/>
      <c r="J41" s="487"/>
      <c r="K41" s="487"/>
      <c r="L41" s="487"/>
      <c r="M41" s="487"/>
      <c r="N41" s="487"/>
      <c r="O41" s="487"/>
      <c r="P41" s="487"/>
      <c r="Q41" s="487"/>
      <c r="R41" s="487"/>
      <c r="S41" s="487"/>
      <c r="V41" s="488" t="n">
        <f aca="false">F41</f>
        <v>0</v>
      </c>
      <c r="Y41" s="488"/>
    </row>
    <row r="42" customFormat="false" ht="15" hidden="false" customHeight="true" outlineLevel="0" collapsed="false">
      <c r="A42" s="422"/>
      <c r="B42" s="486" t="n">
        <f aca="false">N18</f>
        <v>0</v>
      </c>
      <c r="C42" s="486"/>
      <c r="D42" s="486"/>
      <c r="E42" s="486"/>
      <c r="F42" s="487"/>
      <c r="G42" s="487"/>
      <c r="H42" s="487"/>
      <c r="I42" s="487"/>
      <c r="J42" s="487"/>
      <c r="K42" s="487"/>
      <c r="L42" s="487"/>
      <c r="M42" s="487"/>
      <c r="N42" s="487"/>
      <c r="O42" s="487"/>
      <c r="P42" s="487"/>
      <c r="Q42" s="487"/>
      <c r="R42" s="487"/>
      <c r="S42" s="487"/>
      <c r="V42" s="488" t="n">
        <f aca="false">F42</f>
        <v>0</v>
      </c>
    </row>
    <row r="43" customFormat="false" ht="15" hidden="false" customHeight="true" outlineLevel="0" collapsed="false">
      <c r="A43" s="422"/>
      <c r="B43" s="486" t="n">
        <f aca="false">N19</f>
        <v>0</v>
      </c>
      <c r="C43" s="486"/>
      <c r="D43" s="486"/>
      <c r="E43" s="486"/>
      <c r="F43" s="487"/>
      <c r="G43" s="487"/>
      <c r="H43" s="487"/>
      <c r="I43" s="487"/>
      <c r="J43" s="487"/>
      <c r="K43" s="487"/>
      <c r="L43" s="487"/>
      <c r="M43" s="487"/>
      <c r="N43" s="487"/>
      <c r="O43" s="487"/>
      <c r="P43" s="487"/>
      <c r="Q43" s="487"/>
      <c r="R43" s="487"/>
      <c r="S43" s="487"/>
      <c r="V43" s="488" t="n">
        <f aca="false">F43</f>
        <v>0</v>
      </c>
    </row>
    <row r="44" customFormat="false" ht="15" hidden="false" customHeight="true" outlineLevel="0" collapsed="false">
      <c r="A44" s="422"/>
      <c r="B44" s="486" t="n">
        <f aca="false">N20</f>
        <v>0</v>
      </c>
      <c r="C44" s="486"/>
      <c r="D44" s="486"/>
      <c r="E44" s="486"/>
      <c r="F44" s="487"/>
      <c r="G44" s="487"/>
      <c r="H44" s="487"/>
      <c r="I44" s="487"/>
      <c r="J44" s="487"/>
      <c r="K44" s="487"/>
      <c r="L44" s="487"/>
      <c r="M44" s="487"/>
      <c r="N44" s="487"/>
      <c r="O44" s="487"/>
      <c r="P44" s="487"/>
      <c r="Q44" s="487"/>
      <c r="R44" s="487"/>
      <c r="S44" s="487"/>
      <c r="V44" s="488" t="n">
        <f aca="false">F44</f>
        <v>0</v>
      </c>
    </row>
    <row r="45" customFormat="false" ht="15" hidden="false" customHeight="true" outlineLevel="0" collapsed="false">
      <c r="A45" s="422"/>
      <c r="B45" s="486" t="n">
        <f aca="false">N21</f>
        <v>0</v>
      </c>
      <c r="C45" s="486"/>
      <c r="D45" s="486"/>
      <c r="E45" s="486"/>
      <c r="F45" s="487"/>
      <c r="G45" s="487"/>
      <c r="H45" s="487"/>
      <c r="I45" s="487"/>
      <c r="J45" s="487"/>
      <c r="K45" s="487"/>
      <c r="L45" s="487"/>
      <c r="M45" s="487"/>
      <c r="N45" s="487"/>
      <c r="O45" s="487"/>
      <c r="P45" s="487"/>
      <c r="Q45" s="487"/>
      <c r="R45" s="487"/>
      <c r="S45" s="487"/>
      <c r="V45" s="488" t="n">
        <f aca="false">F45</f>
        <v>0</v>
      </c>
    </row>
    <row r="46" customFormat="false" ht="15" hidden="false" customHeight="true" outlineLevel="0" collapsed="false">
      <c r="A46" s="422"/>
      <c r="B46" s="486" t="n">
        <f aca="false">N22</f>
        <v>0</v>
      </c>
      <c r="C46" s="486"/>
      <c r="D46" s="486"/>
      <c r="E46" s="486"/>
      <c r="F46" s="487"/>
      <c r="G46" s="487"/>
      <c r="H46" s="487"/>
      <c r="I46" s="487"/>
      <c r="J46" s="487"/>
      <c r="K46" s="487"/>
      <c r="L46" s="487"/>
      <c r="M46" s="487"/>
      <c r="N46" s="487"/>
      <c r="O46" s="487"/>
      <c r="P46" s="487"/>
      <c r="Q46" s="487"/>
      <c r="R46" s="487"/>
      <c r="S46" s="487"/>
      <c r="V46" s="488" t="n">
        <f aca="false">F46</f>
        <v>0</v>
      </c>
    </row>
    <row r="47" customFormat="false" ht="15" hidden="false" customHeight="true" outlineLevel="0" collapsed="false">
      <c r="A47" s="422"/>
      <c r="B47" s="486" t="n">
        <f aca="false">N23</f>
        <v>0</v>
      </c>
      <c r="C47" s="486"/>
      <c r="D47" s="486"/>
      <c r="E47" s="486"/>
      <c r="F47" s="487"/>
      <c r="G47" s="487"/>
      <c r="H47" s="487"/>
      <c r="I47" s="487"/>
      <c r="J47" s="487"/>
      <c r="K47" s="487"/>
      <c r="L47" s="487"/>
      <c r="M47" s="487"/>
      <c r="N47" s="487"/>
      <c r="O47" s="487"/>
      <c r="P47" s="487"/>
      <c r="Q47" s="487"/>
      <c r="R47" s="487"/>
      <c r="S47" s="487"/>
      <c r="V47" s="488" t="n">
        <f aca="false">F47</f>
        <v>0</v>
      </c>
    </row>
    <row r="48" customFormat="false" ht="15" hidden="false" customHeight="true" outlineLevel="0" collapsed="false">
      <c r="A48" s="422"/>
      <c r="B48" s="486" t="n">
        <f aca="false">N24</f>
        <v>0</v>
      </c>
      <c r="C48" s="486"/>
      <c r="D48" s="486"/>
      <c r="E48" s="486"/>
      <c r="F48" s="487"/>
      <c r="G48" s="487"/>
      <c r="H48" s="487"/>
      <c r="I48" s="487"/>
      <c r="J48" s="487"/>
      <c r="K48" s="487"/>
      <c r="L48" s="487"/>
      <c r="M48" s="487"/>
      <c r="N48" s="487"/>
      <c r="O48" s="487"/>
      <c r="P48" s="487"/>
      <c r="Q48" s="487"/>
      <c r="R48" s="487"/>
      <c r="S48" s="487"/>
      <c r="V48" s="488" t="n">
        <f aca="false">F48</f>
        <v>0</v>
      </c>
    </row>
    <row r="49" customFormat="false" ht="15" hidden="false" customHeight="true" outlineLevel="0" collapsed="false">
      <c r="A49" s="422"/>
      <c r="B49" s="486" t="n">
        <f aca="false">N25</f>
        <v>0</v>
      </c>
      <c r="C49" s="486"/>
      <c r="D49" s="486"/>
      <c r="E49" s="486"/>
      <c r="F49" s="487"/>
      <c r="G49" s="487"/>
      <c r="H49" s="487"/>
      <c r="I49" s="487"/>
      <c r="J49" s="487"/>
      <c r="K49" s="487"/>
      <c r="L49" s="487"/>
      <c r="M49" s="487"/>
      <c r="N49" s="487"/>
      <c r="O49" s="487"/>
      <c r="P49" s="487"/>
      <c r="Q49" s="487"/>
      <c r="R49" s="487"/>
      <c r="S49" s="487"/>
      <c r="V49" s="488" t="n">
        <f aca="false">F49</f>
        <v>0</v>
      </c>
    </row>
    <row r="50" customFormat="false" ht="15" hidden="false" customHeight="true" outlineLevel="0" collapsed="false">
      <c r="A50" s="422"/>
      <c r="B50" s="486" t="n">
        <f aca="false">N26</f>
        <v>0</v>
      </c>
      <c r="C50" s="486"/>
      <c r="D50" s="486"/>
      <c r="E50" s="486"/>
      <c r="F50" s="487"/>
      <c r="G50" s="487"/>
      <c r="H50" s="487"/>
      <c r="I50" s="487"/>
      <c r="J50" s="487"/>
      <c r="K50" s="487"/>
      <c r="L50" s="487"/>
      <c r="M50" s="487"/>
      <c r="N50" s="487"/>
      <c r="O50" s="487"/>
      <c r="P50" s="487"/>
      <c r="Q50" s="487"/>
      <c r="R50" s="487"/>
      <c r="S50" s="487"/>
      <c r="V50" s="488" t="n">
        <f aca="false">F50</f>
        <v>0</v>
      </c>
    </row>
    <row r="51" customFormat="false" ht="5.25" hidden="false" customHeight="true" outlineLevel="0" collapsed="false">
      <c r="A51" s="422"/>
      <c r="B51" s="490"/>
      <c r="C51" s="490"/>
      <c r="D51" s="490"/>
      <c r="E51" s="490"/>
      <c r="F51" s="490"/>
      <c r="G51" s="490"/>
      <c r="H51" s="491"/>
      <c r="I51" s="490"/>
      <c r="J51" s="490"/>
      <c r="K51" s="490"/>
      <c r="L51" s="490"/>
      <c r="M51" s="490"/>
      <c r="N51" s="490"/>
      <c r="O51" s="490"/>
      <c r="P51" s="490"/>
      <c r="Q51" s="490"/>
      <c r="R51" s="490"/>
      <c r="S51" s="490"/>
    </row>
    <row r="52" customFormat="false" ht="13.8" hidden="true" customHeight="false" outlineLevel="0" collapsed="false">
      <c r="A52" s="423"/>
      <c r="B52" s="492"/>
      <c r="C52" s="492"/>
      <c r="D52" s="492"/>
      <c r="E52" s="492"/>
      <c r="F52" s="492"/>
      <c r="G52" s="492"/>
      <c r="H52" s="492"/>
      <c r="I52" s="492"/>
      <c r="J52" s="492"/>
      <c r="K52" s="492"/>
      <c r="L52" s="492"/>
      <c r="M52" s="492"/>
      <c r="N52" s="492"/>
      <c r="O52" s="492"/>
      <c r="P52" s="492"/>
      <c r="Q52" s="492"/>
      <c r="R52" s="492"/>
      <c r="S52" s="492"/>
      <c r="T52" s="423"/>
    </row>
    <row r="53" customFormat="false" ht="13.8" hidden="true" customHeight="false" outlineLevel="0" collapsed="false">
      <c r="A53" s="423"/>
      <c r="B53" s="492"/>
      <c r="C53" s="492"/>
      <c r="D53" s="492"/>
      <c r="E53" s="492"/>
      <c r="F53" s="492"/>
      <c r="G53" s="492"/>
      <c r="H53" s="492"/>
      <c r="I53" s="492"/>
      <c r="J53" s="492"/>
      <c r="K53" s="492"/>
      <c r="L53" s="492"/>
      <c r="M53" s="492"/>
      <c r="N53" s="492"/>
      <c r="O53" s="492"/>
      <c r="P53" s="492"/>
      <c r="Q53" s="492"/>
      <c r="R53" s="492"/>
      <c r="S53" s="492"/>
      <c r="T53" s="423"/>
    </row>
    <row r="54" customFormat="false" ht="13.8" hidden="true" customHeight="false" outlineLevel="0" collapsed="false">
      <c r="A54" s="423"/>
      <c r="B54" s="492"/>
      <c r="C54" s="492"/>
      <c r="D54" s="492"/>
      <c r="E54" s="492"/>
      <c r="F54" s="492"/>
      <c r="G54" s="492"/>
      <c r="H54" s="492"/>
      <c r="I54" s="492"/>
      <c r="J54" s="492"/>
      <c r="K54" s="492"/>
      <c r="L54" s="492"/>
      <c r="M54" s="492"/>
      <c r="N54" s="492"/>
      <c r="O54" s="492"/>
      <c r="P54" s="492"/>
      <c r="Q54" s="492"/>
      <c r="R54" s="492"/>
      <c r="S54" s="492"/>
      <c r="T54" s="423"/>
    </row>
    <row r="55" customFormat="false" ht="13.8" hidden="true" customHeight="false" outlineLevel="0" collapsed="false">
      <c r="A55" s="423"/>
      <c r="B55" s="492"/>
      <c r="C55" s="492"/>
      <c r="D55" s="492"/>
      <c r="E55" s="492"/>
      <c r="F55" s="492"/>
      <c r="G55" s="492"/>
      <c r="H55" s="492"/>
      <c r="I55" s="492"/>
      <c r="J55" s="492"/>
      <c r="K55" s="492"/>
      <c r="L55" s="492"/>
      <c r="M55" s="492"/>
      <c r="N55" s="492"/>
      <c r="O55" s="492"/>
      <c r="P55" s="492"/>
      <c r="Q55" s="492"/>
      <c r="R55" s="492"/>
      <c r="S55" s="492"/>
      <c r="T55" s="423"/>
    </row>
    <row r="56" customFormat="false" ht="13.8" hidden="true" customHeight="false" outlineLevel="0" collapsed="false">
      <c r="A56" s="423"/>
      <c r="B56" s="492"/>
      <c r="C56" s="492"/>
      <c r="D56" s="492"/>
      <c r="E56" s="492"/>
      <c r="F56" s="492"/>
      <c r="G56" s="492"/>
      <c r="H56" s="492"/>
      <c r="I56" s="492"/>
      <c r="J56" s="492"/>
      <c r="K56" s="492"/>
      <c r="L56" s="492"/>
      <c r="M56" s="492"/>
      <c r="N56" s="492"/>
      <c r="O56" s="492"/>
      <c r="P56" s="492"/>
      <c r="Q56" s="492"/>
      <c r="R56" s="492"/>
      <c r="S56" s="492"/>
      <c r="T56" s="423"/>
    </row>
  </sheetData>
  <mergeCells count="57">
    <mergeCell ref="B1:S1"/>
    <mergeCell ref="M3:P3"/>
    <mergeCell ref="M5:M6"/>
    <mergeCell ref="N5:N6"/>
    <mergeCell ref="O5:O6"/>
    <mergeCell ref="P5:P6"/>
    <mergeCell ref="Q5:Q6"/>
    <mergeCell ref="R5:R6"/>
    <mergeCell ref="S5:S6"/>
    <mergeCell ref="F6:G7"/>
    <mergeCell ref="D9:E10"/>
    <mergeCell ref="F12:G13"/>
    <mergeCell ref="D16:E17"/>
    <mergeCell ref="H16:I17"/>
    <mergeCell ref="B29:E29"/>
    <mergeCell ref="B30:E30"/>
    <mergeCell ref="F30:S30"/>
    <mergeCell ref="B31:E31"/>
    <mergeCell ref="F31:S31"/>
    <mergeCell ref="B32:E32"/>
    <mergeCell ref="F32:S32"/>
    <mergeCell ref="B33:E33"/>
    <mergeCell ref="F33:S33"/>
    <mergeCell ref="B34:E34"/>
    <mergeCell ref="F34:S34"/>
    <mergeCell ref="B35:E35"/>
    <mergeCell ref="F35:S35"/>
    <mergeCell ref="B36:E36"/>
    <mergeCell ref="F36:S36"/>
    <mergeCell ref="B37:E37"/>
    <mergeCell ref="F37:S37"/>
    <mergeCell ref="B38:E38"/>
    <mergeCell ref="F38:S38"/>
    <mergeCell ref="B39:E39"/>
    <mergeCell ref="F39:S39"/>
    <mergeCell ref="B40:E40"/>
    <mergeCell ref="F40:S40"/>
    <mergeCell ref="B41:E41"/>
    <mergeCell ref="F41:S41"/>
    <mergeCell ref="B42:E42"/>
    <mergeCell ref="F42:S42"/>
    <mergeCell ref="B43:E43"/>
    <mergeCell ref="F43:S43"/>
    <mergeCell ref="B44:E44"/>
    <mergeCell ref="F44:S44"/>
    <mergeCell ref="B45:E45"/>
    <mergeCell ref="F45:S45"/>
    <mergeCell ref="B46:E46"/>
    <mergeCell ref="F46:S46"/>
    <mergeCell ref="B47:E47"/>
    <mergeCell ref="F47:S47"/>
    <mergeCell ref="B48:E48"/>
    <mergeCell ref="F48:S48"/>
    <mergeCell ref="B49:E49"/>
    <mergeCell ref="F49:S49"/>
    <mergeCell ref="B50:E50"/>
    <mergeCell ref="F50:S50"/>
  </mergeCells>
  <conditionalFormatting sqref="B31:E50">
    <cfRule type="expression" priority="2" aboveAverage="0" equalAverage="0" bottom="0" percent="0" rank="0" text="" dxfId="866">
      <formula>N7&gt;0</formula>
    </cfRule>
  </conditionalFormatting>
  <conditionalFormatting sqref="F31:Q31">
    <cfRule type="cellIs" priority="3" operator="greaterThan" aboveAverage="0" equalAverage="0" bottom="0" percent="0" rank="0" text="" dxfId="867">
      <formula>0</formula>
    </cfRule>
  </conditionalFormatting>
  <conditionalFormatting sqref="Q3">
    <cfRule type="cellIs" priority="4" operator="greaterThan" aboveAverage="0" equalAverage="0" bottom="0" percent="0" rank="0" text="" dxfId="868">
      <formula>0</formula>
    </cfRule>
  </conditionalFormatting>
  <conditionalFormatting sqref="F31:S31">
    <cfRule type="expression" priority="5" aboveAverage="0" equalAverage="0" bottom="0" percent="0" rank="0" text="" dxfId="869">
      <formula>N7&gt;0</formula>
    </cfRule>
  </conditionalFormatting>
  <conditionalFormatting sqref="F32:Q32">
    <cfRule type="cellIs" priority="6" operator="greaterThan" aboveAverage="0" equalAverage="0" bottom="0" percent="0" rank="0" text="" dxfId="870">
      <formula>0</formula>
    </cfRule>
  </conditionalFormatting>
  <conditionalFormatting sqref="F32:S32">
    <cfRule type="expression" priority="7" aboveAverage="0" equalAverage="0" bottom="0" percent="0" rank="0" text="" dxfId="871">
      <formula>N8&gt;0</formula>
    </cfRule>
  </conditionalFormatting>
  <conditionalFormatting sqref="F33:Q33">
    <cfRule type="cellIs" priority="8" operator="greaterThan" aboveAverage="0" equalAverage="0" bottom="0" percent="0" rank="0" text="" dxfId="872">
      <formula>0</formula>
    </cfRule>
  </conditionalFormatting>
  <conditionalFormatting sqref="F33:S33">
    <cfRule type="expression" priority="9" aboveAverage="0" equalAverage="0" bottom="0" percent="0" rank="0" text="" dxfId="873">
      <formula>N9&gt;0</formula>
    </cfRule>
  </conditionalFormatting>
  <conditionalFormatting sqref="F34:Q34">
    <cfRule type="cellIs" priority="10" operator="greaterThan" aboveAverage="0" equalAverage="0" bottom="0" percent="0" rank="0" text="" dxfId="874">
      <formula>0</formula>
    </cfRule>
  </conditionalFormatting>
  <conditionalFormatting sqref="F34:S34">
    <cfRule type="expression" priority="11" aboveAverage="0" equalAverage="0" bottom="0" percent="0" rank="0" text="" dxfId="875">
      <formula>N10&gt;0</formula>
    </cfRule>
  </conditionalFormatting>
  <conditionalFormatting sqref="F35:Q35">
    <cfRule type="cellIs" priority="12" operator="greaterThan" aboveAverage="0" equalAverage="0" bottom="0" percent="0" rank="0" text="" dxfId="876">
      <formula>0</formula>
    </cfRule>
  </conditionalFormatting>
  <conditionalFormatting sqref="F35:S35">
    <cfRule type="expression" priority="13" aboveAverage="0" equalAverage="0" bottom="0" percent="0" rank="0" text="" dxfId="877">
      <formula>N11&gt;0</formula>
    </cfRule>
  </conditionalFormatting>
  <conditionalFormatting sqref="F36:Q36">
    <cfRule type="cellIs" priority="14" operator="greaterThan" aboveAverage="0" equalAverage="0" bottom="0" percent="0" rank="0" text="" dxfId="878">
      <formula>0</formula>
    </cfRule>
  </conditionalFormatting>
  <conditionalFormatting sqref="F36:S36">
    <cfRule type="expression" priority="15" aboveAverage="0" equalAverage="0" bottom="0" percent="0" rank="0" text="" dxfId="879">
      <formula>N12&gt;0</formula>
    </cfRule>
  </conditionalFormatting>
  <conditionalFormatting sqref="F37:Q37">
    <cfRule type="cellIs" priority="16" operator="greaterThan" aboveAverage="0" equalAverage="0" bottom="0" percent="0" rank="0" text="" dxfId="880">
      <formula>0</formula>
    </cfRule>
  </conditionalFormatting>
  <conditionalFormatting sqref="F37:S37">
    <cfRule type="expression" priority="17" aboveAverage="0" equalAverage="0" bottom="0" percent="0" rank="0" text="" dxfId="881">
      <formula>N13&gt;0</formula>
    </cfRule>
  </conditionalFormatting>
  <conditionalFormatting sqref="F38:Q38">
    <cfRule type="cellIs" priority="18" operator="greaterThan" aboveAverage="0" equalAverage="0" bottom="0" percent="0" rank="0" text="" dxfId="882">
      <formula>0</formula>
    </cfRule>
  </conditionalFormatting>
  <conditionalFormatting sqref="F38:S38">
    <cfRule type="expression" priority="19" aboveAverage="0" equalAverage="0" bottom="0" percent="0" rank="0" text="" dxfId="883">
      <formula>N14&gt;0</formula>
    </cfRule>
  </conditionalFormatting>
  <conditionalFormatting sqref="F39:Q39">
    <cfRule type="cellIs" priority="20" operator="greaterThan" aboveAverage="0" equalAverage="0" bottom="0" percent="0" rank="0" text="" dxfId="884">
      <formula>0</formula>
    </cfRule>
  </conditionalFormatting>
  <conditionalFormatting sqref="F39:S39">
    <cfRule type="expression" priority="21" aboveAverage="0" equalAverage="0" bottom="0" percent="0" rank="0" text="" dxfId="885">
      <formula>N15&gt;0</formula>
    </cfRule>
  </conditionalFormatting>
  <conditionalFormatting sqref="F40:Q40">
    <cfRule type="cellIs" priority="22" operator="greaterThan" aboveAverage="0" equalAverage="0" bottom="0" percent="0" rank="0" text="" dxfId="886">
      <formula>0</formula>
    </cfRule>
  </conditionalFormatting>
  <conditionalFormatting sqref="F40:S40">
    <cfRule type="expression" priority="23" aboveAverage="0" equalAverage="0" bottom="0" percent="0" rank="0" text="" dxfId="887">
      <formula>N16&gt;0</formula>
    </cfRule>
  </conditionalFormatting>
  <conditionalFormatting sqref="F41:Q41">
    <cfRule type="cellIs" priority="24" operator="greaterThan" aboveAverage="0" equalAverage="0" bottom="0" percent="0" rank="0" text="" dxfId="888">
      <formula>0</formula>
    </cfRule>
  </conditionalFormatting>
  <conditionalFormatting sqref="F41:S41">
    <cfRule type="expression" priority="25" aboveAverage="0" equalAverage="0" bottom="0" percent="0" rank="0" text="" dxfId="889">
      <formula>N17&gt;0</formula>
    </cfRule>
  </conditionalFormatting>
  <conditionalFormatting sqref="F42:Q42">
    <cfRule type="cellIs" priority="26" operator="greaterThan" aboveAverage="0" equalAverage="0" bottom="0" percent="0" rank="0" text="" dxfId="890">
      <formula>0</formula>
    </cfRule>
  </conditionalFormatting>
  <conditionalFormatting sqref="F42:S42">
    <cfRule type="expression" priority="27" aboveAverage="0" equalAverage="0" bottom="0" percent="0" rank="0" text="" dxfId="891">
      <formula>N18&gt;0</formula>
    </cfRule>
  </conditionalFormatting>
  <conditionalFormatting sqref="F43:Q43">
    <cfRule type="cellIs" priority="28" operator="greaterThan" aboveAverage="0" equalAverage="0" bottom="0" percent="0" rank="0" text="" dxfId="892">
      <formula>0</formula>
    </cfRule>
  </conditionalFormatting>
  <conditionalFormatting sqref="F43:S43">
    <cfRule type="expression" priority="29" aboveAverage="0" equalAverage="0" bottom="0" percent="0" rank="0" text="" dxfId="893">
      <formula>N19&gt;0</formula>
    </cfRule>
  </conditionalFormatting>
  <conditionalFormatting sqref="F44:Q44">
    <cfRule type="cellIs" priority="30" operator="greaterThan" aboveAverage="0" equalAverage="0" bottom="0" percent="0" rank="0" text="" dxfId="894">
      <formula>0</formula>
    </cfRule>
  </conditionalFormatting>
  <conditionalFormatting sqref="F44:S44">
    <cfRule type="expression" priority="31" aboveAverage="0" equalAverage="0" bottom="0" percent="0" rank="0" text="" dxfId="895">
      <formula>N20&gt;0</formula>
    </cfRule>
  </conditionalFormatting>
  <conditionalFormatting sqref="F45:Q45">
    <cfRule type="cellIs" priority="32" operator="greaterThan" aboveAverage="0" equalAverage="0" bottom="0" percent="0" rank="0" text="" dxfId="896">
      <formula>0</formula>
    </cfRule>
  </conditionalFormatting>
  <conditionalFormatting sqref="F45:S45">
    <cfRule type="expression" priority="33" aboveAverage="0" equalAverage="0" bottom="0" percent="0" rank="0" text="" dxfId="897">
      <formula>N21&gt;0</formula>
    </cfRule>
  </conditionalFormatting>
  <conditionalFormatting sqref="F46:Q46">
    <cfRule type="cellIs" priority="34" operator="greaterThan" aboveAverage="0" equalAverage="0" bottom="0" percent="0" rank="0" text="" dxfId="898">
      <formula>0</formula>
    </cfRule>
  </conditionalFormatting>
  <conditionalFormatting sqref="F46:S46">
    <cfRule type="expression" priority="35" aboveAverage="0" equalAverage="0" bottom="0" percent="0" rank="0" text="" dxfId="899">
      <formula>N22&gt;0</formula>
    </cfRule>
  </conditionalFormatting>
  <conditionalFormatting sqref="F47:Q47">
    <cfRule type="cellIs" priority="36" operator="greaterThan" aboveAverage="0" equalAverage="0" bottom="0" percent="0" rank="0" text="" dxfId="900">
      <formula>0</formula>
    </cfRule>
  </conditionalFormatting>
  <conditionalFormatting sqref="F47:S47">
    <cfRule type="expression" priority="37" aboveAverage="0" equalAverage="0" bottom="0" percent="0" rank="0" text="" dxfId="901">
      <formula>N23&gt;0</formula>
    </cfRule>
  </conditionalFormatting>
  <conditionalFormatting sqref="F48:Q48">
    <cfRule type="cellIs" priority="38" operator="greaterThan" aboveAverage="0" equalAverage="0" bottom="0" percent="0" rank="0" text="" dxfId="902">
      <formula>0</formula>
    </cfRule>
  </conditionalFormatting>
  <conditionalFormatting sqref="F48:S48">
    <cfRule type="expression" priority="39" aboveAverage="0" equalAverage="0" bottom="0" percent="0" rank="0" text="" dxfId="903">
      <formula>N24&gt;0</formula>
    </cfRule>
  </conditionalFormatting>
  <conditionalFormatting sqref="F49:Q49">
    <cfRule type="cellIs" priority="40" operator="greaterThan" aboveAverage="0" equalAverage="0" bottom="0" percent="0" rank="0" text="" dxfId="904">
      <formula>0</formula>
    </cfRule>
  </conditionalFormatting>
  <conditionalFormatting sqref="F49:S49">
    <cfRule type="expression" priority="41" aboveAverage="0" equalAverage="0" bottom="0" percent="0" rank="0" text="" dxfId="905">
      <formula>N25&gt;0</formula>
    </cfRule>
  </conditionalFormatting>
  <conditionalFormatting sqref="F50:Q50">
    <cfRule type="cellIs" priority="42" operator="greaterThan" aboveAverage="0" equalAverage="0" bottom="0" percent="0" rank="0" text="" dxfId="906">
      <formula>0</formula>
    </cfRule>
  </conditionalFormatting>
  <conditionalFormatting sqref="F50:S50">
    <cfRule type="expression" priority="43" aboveAverage="0" equalAverage="0" bottom="0" percent="0" rank="0" text="" dxfId="907">
      <formula>N26&gt;0</formula>
    </cfRule>
  </conditionalFormatting>
  <conditionalFormatting sqref="N7">
    <cfRule type="cellIs" priority="44" operator="greaterThan" aboveAverage="0" equalAverage="0" bottom="0" percent="0" rank="0" text="" dxfId="908">
      <formula>0</formula>
    </cfRule>
  </conditionalFormatting>
  <conditionalFormatting sqref="N8">
    <cfRule type="cellIs" priority="45" operator="greaterThan" aboveAverage="0" equalAverage="0" bottom="0" percent="0" rank="0" text="" dxfId="909">
      <formula>0</formula>
    </cfRule>
    <cfRule type="expression" priority="46" aboveAverage="0" equalAverage="0" bottom="0" percent="0" rank="0" text="" dxfId="910">
      <formula>N7&gt;0</formula>
    </cfRule>
  </conditionalFormatting>
  <conditionalFormatting sqref="N9">
    <cfRule type="cellIs" priority="47" operator="greaterThan" aboveAverage="0" equalAverage="0" bottom="0" percent="0" rank="0" text="" dxfId="911">
      <formula>0</formula>
    </cfRule>
    <cfRule type="expression" priority="48" aboveAverage="0" equalAverage="0" bottom="0" percent="0" rank="0" text="" dxfId="912">
      <formula>N8&gt;0</formula>
    </cfRule>
  </conditionalFormatting>
  <conditionalFormatting sqref="N10">
    <cfRule type="cellIs" priority="49" operator="greaterThan" aboveAverage="0" equalAverage="0" bottom="0" percent="0" rank="0" text="" dxfId="913">
      <formula>0</formula>
    </cfRule>
    <cfRule type="expression" priority="50" aboveAverage="0" equalAverage="0" bottom="0" percent="0" rank="0" text="" dxfId="914">
      <formula>N9&gt;0</formula>
    </cfRule>
  </conditionalFormatting>
  <conditionalFormatting sqref="N11">
    <cfRule type="cellIs" priority="51" operator="greaterThan" aboveAverage="0" equalAverage="0" bottom="0" percent="0" rank="0" text="" dxfId="915">
      <formula>0</formula>
    </cfRule>
    <cfRule type="expression" priority="52" aboveAverage="0" equalAverage="0" bottom="0" percent="0" rank="0" text="" dxfId="916">
      <formula>N10&gt;0</formula>
    </cfRule>
  </conditionalFormatting>
  <conditionalFormatting sqref="N12">
    <cfRule type="cellIs" priority="53" operator="greaterThan" aboveAverage="0" equalAverage="0" bottom="0" percent="0" rank="0" text="" dxfId="917">
      <formula>0</formula>
    </cfRule>
    <cfRule type="expression" priority="54" aboveAverage="0" equalAverage="0" bottom="0" percent="0" rank="0" text="" dxfId="918">
      <formula>N11&gt;0</formula>
    </cfRule>
  </conditionalFormatting>
  <conditionalFormatting sqref="N13">
    <cfRule type="cellIs" priority="55" operator="greaterThan" aboveAverage="0" equalAverage="0" bottom="0" percent="0" rank="0" text="" dxfId="919">
      <formula>0</formula>
    </cfRule>
    <cfRule type="expression" priority="56" aboveAverage="0" equalAverage="0" bottom="0" percent="0" rank="0" text="" dxfId="920">
      <formula>N12&gt;0</formula>
    </cfRule>
  </conditionalFormatting>
  <conditionalFormatting sqref="N14">
    <cfRule type="cellIs" priority="57" operator="greaterThan" aboveAverage="0" equalAverage="0" bottom="0" percent="0" rank="0" text="" dxfId="921">
      <formula>0</formula>
    </cfRule>
    <cfRule type="expression" priority="58" aboveAverage="0" equalAverage="0" bottom="0" percent="0" rank="0" text="" dxfId="922">
      <formula>N13&gt;0</formula>
    </cfRule>
  </conditionalFormatting>
  <conditionalFormatting sqref="N15">
    <cfRule type="cellIs" priority="59" operator="greaterThan" aboveAverage="0" equalAverage="0" bottom="0" percent="0" rank="0" text="" dxfId="923">
      <formula>0</formula>
    </cfRule>
    <cfRule type="expression" priority="60" aboveAverage="0" equalAverage="0" bottom="0" percent="0" rank="0" text="" dxfId="924">
      <formula>N14&gt;0</formula>
    </cfRule>
  </conditionalFormatting>
  <conditionalFormatting sqref="N16">
    <cfRule type="cellIs" priority="61" operator="greaterThan" aboveAverage="0" equalAverage="0" bottom="0" percent="0" rank="0" text="" dxfId="925">
      <formula>0</formula>
    </cfRule>
    <cfRule type="expression" priority="62" aboveAverage="0" equalAverage="0" bottom="0" percent="0" rank="0" text="" dxfId="926">
      <formula>N15&gt;0</formula>
    </cfRule>
  </conditionalFormatting>
  <conditionalFormatting sqref="N17">
    <cfRule type="cellIs" priority="63" operator="greaterThan" aboveAverage="0" equalAverage="0" bottom="0" percent="0" rank="0" text="" dxfId="927">
      <formula>0</formula>
    </cfRule>
    <cfRule type="expression" priority="64" aboveAverage="0" equalAverage="0" bottom="0" percent="0" rank="0" text="" dxfId="928">
      <formula>N16&gt;0</formula>
    </cfRule>
  </conditionalFormatting>
  <conditionalFormatting sqref="N18">
    <cfRule type="cellIs" priority="65" operator="greaterThan" aboveAverage="0" equalAverage="0" bottom="0" percent="0" rank="0" text="" dxfId="929">
      <formula>0</formula>
    </cfRule>
    <cfRule type="expression" priority="66" aboveAverage="0" equalAverage="0" bottom="0" percent="0" rank="0" text="" dxfId="930">
      <formula>N17&gt;0</formula>
    </cfRule>
  </conditionalFormatting>
  <conditionalFormatting sqref="N19">
    <cfRule type="cellIs" priority="67" operator="greaterThan" aboveAverage="0" equalAverage="0" bottom="0" percent="0" rank="0" text="" dxfId="931">
      <formula>0</formula>
    </cfRule>
    <cfRule type="expression" priority="68" aboveAverage="0" equalAverage="0" bottom="0" percent="0" rank="0" text="" dxfId="932">
      <formula>N18&gt;0</formula>
    </cfRule>
  </conditionalFormatting>
  <conditionalFormatting sqref="N20">
    <cfRule type="cellIs" priority="69" operator="greaterThan" aboveAverage="0" equalAverage="0" bottom="0" percent="0" rank="0" text="" dxfId="933">
      <formula>0</formula>
    </cfRule>
    <cfRule type="expression" priority="70" aboveAverage="0" equalAverage="0" bottom="0" percent="0" rank="0" text="" dxfId="934">
      <formula>N19&gt;0</formula>
    </cfRule>
  </conditionalFormatting>
  <conditionalFormatting sqref="N21">
    <cfRule type="cellIs" priority="71" operator="greaterThan" aboveAverage="0" equalAverage="0" bottom="0" percent="0" rank="0" text="" dxfId="935">
      <formula>0</formula>
    </cfRule>
    <cfRule type="expression" priority="72" aboveAverage="0" equalAverage="0" bottom="0" percent="0" rank="0" text="" dxfId="936">
      <formula>N20&gt;0</formula>
    </cfRule>
  </conditionalFormatting>
  <conditionalFormatting sqref="N22">
    <cfRule type="cellIs" priority="73" operator="greaterThan" aboveAverage="0" equalAverage="0" bottom="0" percent="0" rank="0" text="" dxfId="937">
      <formula>0</formula>
    </cfRule>
    <cfRule type="expression" priority="74" aboveAverage="0" equalAverage="0" bottom="0" percent="0" rank="0" text="" dxfId="938">
      <formula>N21&gt;0</formula>
    </cfRule>
  </conditionalFormatting>
  <conditionalFormatting sqref="N23">
    <cfRule type="cellIs" priority="75" operator="greaterThan" aboveAverage="0" equalAverage="0" bottom="0" percent="0" rank="0" text="" dxfId="939">
      <formula>0</formula>
    </cfRule>
    <cfRule type="expression" priority="76" aboveAverage="0" equalAverage="0" bottom="0" percent="0" rank="0" text="" dxfId="940">
      <formula>N22&gt;0</formula>
    </cfRule>
  </conditionalFormatting>
  <conditionalFormatting sqref="N24">
    <cfRule type="cellIs" priority="77" operator="greaterThan" aboveAverage="0" equalAverage="0" bottom="0" percent="0" rank="0" text="" dxfId="941">
      <formula>0</formula>
    </cfRule>
    <cfRule type="expression" priority="78" aboveAverage="0" equalAverage="0" bottom="0" percent="0" rank="0" text="" dxfId="942">
      <formula>N23&gt;0</formula>
    </cfRule>
  </conditionalFormatting>
  <conditionalFormatting sqref="N25">
    <cfRule type="cellIs" priority="79" operator="greaterThan" aboveAverage="0" equalAverage="0" bottom="0" percent="0" rank="0" text="" dxfId="943">
      <formula>0</formula>
    </cfRule>
    <cfRule type="expression" priority="80" aboveAverage="0" equalAverage="0" bottom="0" percent="0" rank="0" text="" dxfId="944">
      <formula>N24&gt;0</formula>
    </cfRule>
  </conditionalFormatting>
  <conditionalFormatting sqref="N26">
    <cfRule type="cellIs" priority="81" operator="greaterThan" aboveAverage="0" equalAverage="0" bottom="0" percent="0" rank="0" text="" dxfId="945">
      <formula>0</formula>
    </cfRule>
    <cfRule type="expression" priority="82" aboveAverage="0" equalAverage="0" bottom="0" percent="0" rank="0" text="" dxfId="946">
      <formula>N25&gt;0</formula>
    </cfRule>
  </conditionalFormatting>
  <conditionalFormatting sqref="O7">
    <cfRule type="cellIs" priority="83" operator="greaterThan" aboveAverage="0" equalAverage="0" bottom="0" percent="0" rank="0" text="" dxfId="947">
      <formula>0</formula>
    </cfRule>
  </conditionalFormatting>
  <conditionalFormatting sqref="O8">
    <cfRule type="cellIs" priority="84" operator="greaterThan" aboveAverage="0" equalAverage="0" bottom="0" percent="0" rank="0" text="" dxfId="948">
      <formula>0</formula>
    </cfRule>
    <cfRule type="expression" priority="85" aboveAverage="0" equalAverage="0" bottom="0" percent="0" rank="0" text="" dxfId="949">
      <formula>O7&gt;0</formula>
    </cfRule>
  </conditionalFormatting>
  <conditionalFormatting sqref="O9">
    <cfRule type="cellIs" priority="86" operator="greaterThan" aboveAverage="0" equalAverage="0" bottom="0" percent="0" rank="0" text="" dxfId="950">
      <formula>0</formula>
    </cfRule>
    <cfRule type="expression" priority="87" aboveAverage="0" equalAverage="0" bottom="0" percent="0" rank="0" text="" dxfId="951">
      <formula>O8&gt;0</formula>
    </cfRule>
  </conditionalFormatting>
  <conditionalFormatting sqref="O10">
    <cfRule type="cellIs" priority="88" operator="greaterThan" aboveAverage="0" equalAverage="0" bottom="0" percent="0" rank="0" text="" dxfId="952">
      <formula>0</formula>
    </cfRule>
    <cfRule type="expression" priority="89" aboveAverage="0" equalAverage="0" bottom="0" percent="0" rank="0" text="" dxfId="953">
      <formula>O9&gt;0</formula>
    </cfRule>
  </conditionalFormatting>
  <conditionalFormatting sqref="O11">
    <cfRule type="cellIs" priority="90" operator="greaterThan" aboveAverage="0" equalAverage="0" bottom="0" percent="0" rank="0" text="" dxfId="954">
      <formula>0</formula>
    </cfRule>
    <cfRule type="expression" priority="91" aboveAverage="0" equalAverage="0" bottom="0" percent="0" rank="0" text="" dxfId="955">
      <formula>O10&gt;0</formula>
    </cfRule>
  </conditionalFormatting>
  <conditionalFormatting sqref="O12">
    <cfRule type="cellIs" priority="92" operator="greaterThan" aboveAverage="0" equalAverage="0" bottom="0" percent="0" rank="0" text="" dxfId="956">
      <formula>0</formula>
    </cfRule>
    <cfRule type="expression" priority="93" aboveAverage="0" equalAverage="0" bottom="0" percent="0" rank="0" text="" dxfId="957">
      <formula>O11&gt;0</formula>
    </cfRule>
  </conditionalFormatting>
  <conditionalFormatting sqref="O13">
    <cfRule type="cellIs" priority="94" operator="greaterThan" aboveAverage="0" equalAverage="0" bottom="0" percent="0" rank="0" text="" dxfId="958">
      <formula>0</formula>
    </cfRule>
    <cfRule type="expression" priority="95" aboveAverage="0" equalAverage="0" bottom="0" percent="0" rank="0" text="" dxfId="959">
      <formula>O12&gt;0</formula>
    </cfRule>
  </conditionalFormatting>
  <conditionalFormatting sqref="O14">
    <cfRule type="cellIs" priority="96" operator="greaterThan" aboveAverage="0" equalAverage="0" bottom="0" percent="0" rank="0" text="" dxfId="960">
      <formula>0</formula>
    </cfRule>
    <cfRule type="expression" priority="97" aboveAverage="0" equalAverage="0" bottom="0" percent="0" rank="0" text="" dxfId="961">
      <formula>O13&gt;0</formula>
    </cfRule>
  </conditionalFormatting>
  <conditionalFormatting sqref="O15">
    <cfRule type="cellIs" priority="98" operator="greaterThan" aboveAverage="0" equalAverage="0" bottom="0" percent="0" rank="0" text="" dxfId="962">
      <formula>0</formula>
    </cfRule>
    <cfRule type="expression" priority="99" aboveAverage="0" equalAverage="0" bottom="0" percent="0" rank="0" text="" dxfId="963">
      <formula>O14&gt;0</formula>
    </cfRule>
  </conditionalFormatting>
  <conditionalFormatting sqref="O16">
    <cfRule type="cellIs" priority="100" operator="greaterThan" aboveAverage="0" equalAverage="0" bottom="0" percent="0" rank="0" text="" dxfId="964">
      <formula>0</formula>
    </cfRule>
    <cfRule type="expression" priority="101" aboveAverage="0" equalAverage="0" bottom="0" percent="0" rank="0" text="" dxfId="965">
      <formula>O15&gt;0</formula>
    </cfRule>
  </conditionalFormatting>
  <conditionalFormatting sqref="O17">
    <cfRule type="cellIs" priority="102" operator="greaterThan" aboveAverage="0" equalAverage="0" bottom="0" percent="0" rank="0" text="" dxfId="966">
      <formula>0</formula>
    </cfRule>
    <cfRule type="expression" priority="103" aboveAverage="0" equalAverage="0" bottom="0" percent="0" rank="0" text="" dxfId="967">
      <formula>O16&gt;0</formula>
    </cfRule>
  </conditionalFormatting>
  <conditionalFormatting sqref="O18">
    <cfRule type="cellIs" priority="104" operator="greaterThan" aboveAverage="0" equalAverage="0" bottom="0" percent="0" rank="0" text="" dxfId="968">
      <formula>0</formula>
    </cfRule>
    <cfRule type="expression" priority="105" aboveAverage="0" equalAverage="0" bottom="0" percent="0" rank="0" text="" dxfId="969">
      <formula>O17&gt;0</formula>
    </cfRule>
  </conditionalFormatting>
  <conditionalFormatting sqref="O19">
    <cfRule type="cellIs" priority="106" operator="greaterThan" aboveAverage="0" equalAverage="0" bottom="0" percent="0" rank="0" text="" dxfId="970">
      <formula>0</formula>
    </cfRule>
    <cfRule type="expression" priority="107" aboveAverage="0" equalAverage="0" bottom="0" percent="0" rank="0" text="" dxfId="971">
      <formula>O18&gt;0</formula>
    </cfRule>
  </conditionalFormatting>
  <conditionalFormatting sqref="O20">
    <cfRule type="cellIs" priority="108" operator="greaterThan" aboveAverage="0" equalAverage="0" bottom="0" percent="0" rank="0" text="" dxfId="972">
      <formula>0</formula>
    </cfRule>
    <cfRule type="expression" priority="109" aboveAverage="0" equalAverage="0" bottom="0" percent="0" rank="0" text="" dxfId="973">
      <formula>O19&gt;0</formula>
    </cfRule>
  </conditionalFormatting>
  <conditionalFormatting sqref="O21">
    <cfRule type="cellIs" priority="110" operator="greaterThan" aboveAverage="0" equalAverage="0" bottom="0" percent="0" rank="0" text="" dxfId="974">
      <formula>0</formula>
    </cfRule>
    <cfRule type="expression" priority="111" aboveAverage="0" equalAverage="0" bottom="0" percent="0" rank="0" text="" dxfId="975">
      <formula>O20&gt;0</formula>
    </cfRule>
  </conditionalFormatting>
  <conditionalFormatting sqref="O22">
    <cfRule type="cellIs" priority="112" operator="greaterThan" aboveAverage="0" equalAverage="0" bottom="0" percent="0" rank="0" text="" dxfId="976">
      <formula>0</formula>
    </cfRule>
    <cfRule type="expression" priority="113" aboveAverage="0" equalAverage="0" bottom="0" percent="0" rank="0" text="" dxfId="977">
      <formula>O21&gt;0</formula>
    </cfRule>
  </conditionalFormatting>
  <conditionalFormatting sqref="O23">
    <cfRule type="cellIs" priority="114" operator="greaterThan" aboveAverage="0" equalAverage="0" bottom="0" percent="0" rank="0" text="" dxfId="978">
      <formula>0</formula>
    </cfRule>
    <cfRule type="expression" priority="115" aboveAverage="0" equalAverage="0" bottom="0" percent="0" rank="0" text="" dxfId="979">
      <formula>O22&gt;0</formula>
    </cfRule>
  </conditionalFormatting>
  <conditionalFormatting sqref="O24">
    <cfRule type="cellIs" priority="116" operator="greaterThan" aboveAverage="0" equalAverage="0" bottom="0" percent="0" rank="0" text="" dxfId="980">
      <formula>0</formula>
    </cfRule>
    <cfRule type="expression" priority="117" aboveAverage="0" equalAverage="0" bottom="0" percent="0" rank="0" text="" dxfId="981">
      <formula>O23&gt;0</formula>
    </cfRule>
  </conditionalFormatting>
  <conditionalFormatting sqref="O25">
    <cfRule type="cellIs" priority="118" operator="greaterThan" aboveAverage="0" equalAverage="0" bottom="0" percent="0" rank="0" text="" dxfId="982">
      <formula>0</formula>
    </cfRule>
    <cfRule type="expression" priority="119" aboveAverage="0" equalAverage="0" bottom="0" percent="0" rank="0" text="" dxfId="983">
      <formula>O24&gt;0</formula>
    </cfRule>
  </conditionalFormatting>
  <conditionalFormatting sqref="O26">
    <cfRule type="cellIs" priority="120" operator="greaterThan" aboveAverage="0" equalAverage="0" bottom="0" percent="0" rank="0" text="" dxfId="984">
      <formula>0</formula>
    </cfRule>
    <cfRule type="expression" priority="121" aboveAverage="0" equalAverage="0" bottom="0" percent="0" rank="0" text="" dxfId="985">
      <formula>O25&gt;0</formula>
    </cfRule>
  </conditionalFormatting>
  <conditionalFormatting sqref="P7">
    <cfRule type="cellIs" priority="122" operator="greaterThan" aboveAverage="0" equalAverage="0" bottom="0" percent="0" rank="0" text="" dxfId="986">
      <formula>0</formula>
    </cfRule>
  </conditionalFormatting>
  <conditionalFormatting sqref="P8">
    <cfRule type="cellIs" priority="123" operator="greaterThan" aboveAverage="0" equalAverage="0" bottom="0" percent="0" rank="0" text="" dxfId="987">
      <formula>0</formula>
    </cfRule>
    <cfRule type="expression" priority="124" aboveAverage="0" equalAverage="0" bottom="0" percent="0" rank="0" text="" dxfId="988">
      <formula>P7&gt;0</formula>
    </cfRule>
  </conditionalFormatting>
  <conditionalFormatting sqref="P9">
    <cfRule type="cellIs" priority="125" operator="greaterThan" aboveAverage="0" equalAverage="0" bottom="0" percent="0" rank="0" text="" dxfId="989">
      <formula>0</formula>
    </cfRule>
    <cfRule type="expression" priority="126" aboveAverage="0" equalAverage="0" bottom="0" percent="0" rank="0" text="" dxfId="990">
      <formula>P8&gt;0</formula>
    </cfRule>
  </conditionalFormatting>
  <conditionalFormatting sqref="P10">
    <cfRule type="cellIs" priority="127" operator="greaterThan" aboveAverage="0" equalAverage="0" bottom="0" percent="0" rank="0" text="" dxfId="991">
      <formula>0</formula>
    </cfRule>
    <cfRule type="expression" priority="128" aboveAverage="0" equalAverage="0" bottom="0" percent="0" rank="0" text="" dxfId="992">
      <formula>P9&gt;0</formula>
    </cfRule>
  </conditionalFormatting>
  <conditionalFormatting sqref="P11">
    <cfRule type="cellIs" priority="129" operator="greaterThan" aboveAverage="0" equalAverage="0" bottom="0" percent="0" rank="0" text="" dxfId="993">
      <formula>0</formula>
    </cfRule>
    <cfRule type="expression" priority="130" aboveAverage="0" equalAverage="0" bottom="0" percent="0" rank="0" text="" dxfId="994">
      <formula>P10&gt;0</formula>
    </cfRule>
  </conditionalFormatting>
  <conditionalFormatting sqref="P12">
    <cfRule type="cellIs" priority="131" operator="greaterThan" aboveAverage="0" equalAverage="0" bottom="0" percent="0" rank="0" text="" dxfId="995">
      <formula>0</formula>
    </cfRule>
    <cfRule type="expression" priority="132" aboveAverage="0" equalAverage="0" bottom="0" percent="0" rank="0" text="" dxfId="996">
      <formula>P11&gt;0</formula>
    </cfRule>
  </conditionalFormatting>
  <conditionalFormatting sqref="P13">
    <cfRule type="cellIs" priority="133" operator="greaterThan" aboveAverage="0" equalAverage="0" bottom="0" percent="0" rank="0" text="" dxfId="997">
      <formula>0</formula>
    </cfRule>
    <cfRule type="expression" priority="134" aboveAverage="0" equalAverage="0" bottom="0" percent="0" rank="0" text="" dxfId="998">
      <formula>P12&gt;0</formula>
    </cfRule>
  </conditionalFormatting>
  <conditionalFormatting sqref="P14">
    <cfRule type="cellIs" priority="135" operator="greaterThan" aboveAverage="0" equalAverage="0" bottom="0" percent="0" rank="0" text="" dxfId="999">
      <formula>0</formula>
    </cfRule>
    <cfRule type="expression" priority="136" aboveAverage="0" equalAverage="0" bottom="0" percent="0" rank="0" text="" dxfId="1000">
      <formula>P13&gt;0</formula>
    </cfRule>
  </conditionalFormatting>
  <conditionalFormatting sqref="P15">
    <cfRule type="cellIs" priority="137" operator="greaterThan" aboveAverage="0" equalAverage="0" bottom="0" percent="0" rank="0" text="" dxfId="1001">
      <formula>0</formula>
    </cfRule>
    <cfRule type="expression" priority="138" aboveAverage="0" equalAverage="0" bottom="0" percent="0" rank="0" text="" dxfId="1002">
      <formula>P14&gt;0</formula>
    </cfRule>
  </conditionalFormatting>
  <conditionalFormatting sqref="P16">
    <cfRule type="cellIs" priority="139" operator="greaterThan" aboveAverage="0" equalAverage="0" bottom="0" percent="0" rank="0" text="" dxfId="1003">
      <formula>0</formula>
    </cfRule>
    <cfRule type="expression" priority="140" aboveAverage="0" equalAverage="0" bottom="0" percent="0" rank="0" text="" dxfId="1004">
      <formula>P15&gt;0</formula>
    </cfRule>
  </conditionalFormatting>
  <conditionalFormatting sqref="P17">
    <cfRule type="cellIs" priority="141" operator="greaterThan" aboveAverage="0" equalAverage="0" bottom="0" percent="0" rank="0" text="" dxfId="1005">
      <formula>0</formula>
    </cfRule>
    <cfRule type="expression" priority="142" aboveAverage="0" equalAverage="0" bottom="0" percent="0" rank="0" text="" dxfId="1006">
      <formula>P16&gt;0</formula>
    </cfRule>
  </conditionalFormatting>
  <conditionalFormatting sqref="P18">
    <cfRule type="cellIs" priority="143" operator="greaterThan" aboveAverage="0" equalAverage="0" bottom="0" percent="0" rank="0" text="" dxfId="1007">
      <formula>0</formula>
    </cfRule>
    <cfRule type="expression" priority="144" aboveAverage="0" equalAverage="0" bottom="0" percent="0" rank="0" text="" dxfId="1008">
      <formula>P17&gt;0</formula>
    </cfRule>
  </conditionalFormatting>
  <conditionalFormatting sqref="P19">
    <cfRule type="cellIs" priority="145" operator="greaterThan" aboveAverage="0" equalAverage="0" bottom="0" percent="0" rank="0" text="" dxfId="1009">
      <formula>0</formula>
    </cfRule>
    <cfRule type="expression" priority="146" aboveAverage="0" equalAverage="0" bottom="0" percent="0" rank="0" text="" dxfId="1010">
      <formula>P18&gt;0</formula>
    </cfRule>
  </conditionalFormatting>
  <conditionalFormatting sqref="P20">
    <cfRule type="cellIs" priority="147" operator="greaterThan" aboveAverage="0" equalAverage="0" bottom="0" percent="0" rank="0" text="" dxfId="1011">
      <formula>0</formula>
    </cfRule>
    <cfRule type="expression" priority="148" aboveAverage="0" equalAverage="0" bottom="0" percent="0" rank="0" text="" dxfId="1012">
      <formula>P19&gt;0</formula>
    </cfRule>
  </conditionalFormatting>
  <conditionalFormatting sqref="P21">
    <cfRule type="cellIs" priority="149" operator="greaterThan" aboveAverage="0" equalAverage="0" bottom="0" percent="0" rank="0" text="" dxfId="1013">
      <formula>0</formula>
    </cfRule>
    <cfRule type="expression" priority="150" aboveAverage="0" equalAverage="0" bottom="0" percent="0" rank="0" text="" dxfId="1014">
      <formula>P20&gt;0</formula>
    </cfRule>
  </conditionalFormatting>
  <conditionalFormatting sqref="P22">
    <cfRule type="cellIs" priority="151" operator="greaterThan" aboveAverage="0" equalAverage="0" bottom="0" percent="0" rank="0" text="" dxfId="1015">
      <formula>0</formula>
    </cfRule>
    <cfRule type="expression" priority="152" aboveAverage="0" equalAverage="0" bottom="0" percent="0" rank="0" text="" dxfId="1016">
      <formula>P21&gt;0</formula>
    </cfRule>
  </conditionalFormatting>
  <conditionalFormatting sqref="P23">
    <cfRule type="cellIs" priority="153" operator="greaterThan" aboveAverage="0" equalAverage="0" bottom="0" percent="0" rank="0" text="" dxfId="1017">
      <formula>0</formula>
    </cfRule>
    <cfRule type="expression" priority="154" aboveAverage="0" equalAverage="0" bottom="0" percent="0" rank="0" text="" dxfId="1018">
      <formula>P22&gt;0</formula>
    </cfRule>
  </conditionalFormatting>
  <conditionalFormatting sqref="P24">
    <cfRule type="cellIs" priority="155" operator="greaterThan" aboveAverage="0" equalAverage="0" bottom="0" percent="0" rank="0" text="" dxfId="1019">
      <formula>0</formula>
    </cfRule>
    <cfRule type="expression" priority="156" aboveAverage="0" equalAverage="0" bottom="0" percent="0" rank="0" text="" dxfId="1020">
      <formula>P23&gt;0</formula>
    </cfRule>
  </conditionalFormatting>
  <conditionalFormatting sqref="P25">
    <cfRule type="cellIs" priority="157" operator="greaterThan" aboveAverage="0" equalAverage="0" bottom="0" percent="0" rank="0" text="" dxfId="1021">
      <formula>0</formula>
    </cfRule>
    <cfRule type="expression" priority="158" aboveAverage="0" equalAverage="0" bottom="0" percent="0" rank="0" text="" dxfId="1022">
      <formula>P24&gt;0</formula>
    </cfRule>
  </conditionalFormatting>
  <conditionalFormatting sqref="P26">
    <cfRule type="cellIs" priority="159" operator="greaterThan" aboveAverage="0" equalAverage="0" bottom="0" percent="0" rank="0" text="" dxfId="1023">
      <formula>0</formula>
    </cfRule>
    <cfRule type="expression" priority="160" aboveAverage="0" equalAverage="0" bottom="0" percent="0" rank="0" text="" dxfId="1024">
      <formula>P25&gt;0</formula>
    </cfRule>
  </conditionalFormatting>
  <printOptions headings="false" gridLines="false" gridLinesSet="true" horizontalCentered="tru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B1:BM54"/>
  <sheetViews>
    <sheetView showFormulas="false" showGridLines="true" showRowColHeaders="true" showZeros="fals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9.14453125" defaultRowHeight="13.8" zeroHeight="true" outlineLevelRow="0" outlineLevelCol="0"/>
  <cols>
    <col collapsed="false" customWidth="true" hidden="false" outlineLevel="0" max="1" min="1" style="422" width="1.71"/>
    <col collapsed="false" customWidth="true" hidden="false" outlineLevel="0" max="2" min="2" style="0" width="38"/>
    <col collapsed="false" customWidth="true" hidden="false" outlineLevel="0" max="3" min="3" style="0" width="11.43"/>
    <col collapsed="false" customWidth="true" hidden="false" outlineLevel="0" max="33" min="4" style="0" width="4.43"/>
    <col collapsed="false" customWidth="true" hidden="false" outlineLevel="0" max="34" min="34" style="422" width="1.71"/>
    <col collapsed="false" customWidth="false" hidden="true" outlineLevel="0" max="35" min="35" style="0" width="9.14"/>
    <col collapsed="false" customWidth="true" hidden="true" outlineLevel="0" max="36" min="36" style="0" width="6.57"/>
    <col collapsed="false" customWidth="true" hidden="true" outlineLevel="0" max="65" min="37" style="0" width="4.28"/>
    <col collapsed="false" customWidth="false" hidden="true" outlineLevel="0" max="1024" min="66" style="0" width="9.14"/>
  </cols>
  <sheetData>
    <row r="1" customFormat="false" ht="34.5" hidden="false" customHeight="true" outlineLevel="0" collapsed="false">
      <c r="B1" s="41" t="s">
        <v>328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</row>
    <row r="2" customFormat="false" ht="13.8" hidden="false" customHeight="false" outlineLevel="0" collapsed="false"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2"/>
      <c r="R2" s="422"/>
      <c r="S2" s="422"/>
      <c r="T2" s="422"/>
      <c r="U2" s="422"/>
      <c r="V2" s="422"/>
      <c r="W2" s="422"/>
      <c r="X2" s="422"/>
      <c r="Y2" s="422"/>
      <c r="Z2" s="422"/>
      <c r="AA2" s="422"/>
      <c r="AB2" s="422"/>
      <c r="AC2" s="422"/>
      <c r="AD2" s="422"/>
      <c r="AE2" s="422"/>
      <c r="AF2" s="422"/>
      <c r="AG2" s="422"/>
    </row>
    <row r="3" customFormat="false" ht="13.8" hidden="false" customHeight="false" outlineLevel="0" collapsed="false">
      <c r="B3" s="493" t="s">
        <v>329</v>
      </c>
      <c r="C3" s="493"/>
      <c r="D3" s="493"/>
      <c r="E3" s="494" t="n">
        <f aca="false">Анализ!D12</f>
        <v>7</v>
      </c>
      <c r="F3" s="493" t="s">
        <v>330</v>
      </c>
      <c r="G3" s="493"/>
      <c r="H3" s="493"/>
      <c r="I3" s="493"/>
      <c r="J3" s="494" t="n">
        <f aca="false">Анализ!D11*30</f>
        <v>360</v>
      </c>
      <c r="K3" s="495" t="s">
        <v>331</v>
      </c>
      <c r="L3" s="495"/>
      <c r="M3" s="495"/>
      <c r="N3" s="496"/>
      <c r="O3" s="422"/>
      <c r="P3" s="422"/>
      <c r="Q3" s="422"/>
      <c r="R3" s="422"/>
      <c r="S3" s="422"/>
      <c r="T3" s="422"/>
      <c r="U3" s="422"/>
      <c r="V3" s="422"/>
      <c r="W3" s="422"/>
      <c r="X3" s="422"/>
      <c r="Y3" s="422"/>
      <c r="Z3" s="422"/>
      <c r="AA3" s="422"/>
      <c r="AB3" s="422"/>
      <c r="AC3" s="422"/>
      <c r="AD3" s="422"/>
      <c r="AE3" s="422"/>
      <c r="AF3" s="422"/>
      <c r="AG3" s="422"/>
    </row>
    <row r="4" customFormat="false" ht="13.8" hidden="false" customHeight="false" outlineLevel="0" collapsed="false">
      <c r="B4" s="493" t="s">
        <v>332</v>
      </c>
      <c r="C4" s="493"/>
      <c r="D4" s="493"/>
      <c r="E4" s="494" t="n">
        <f aca="false">22*8</f>
        <v>176</v>
      </c>
      <c r="F4" s="493" t="s">
        <v>333</v>
      </c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4"/>
      <c r="Z4" s="494"/>
      <c r="AA4" s="494"/>
      <c r="AB4" s="497"/>
      <c r="AC4" s="497"/>
      <c r="AD4" s="497"/>
      <c r="AE4" s="497"/>
      <c r="AF4" s="497"/>
      <c r="AG4" s="497"/>
    </row>
    <row r="5" customFormat="false" ht="13.8" hidden="false" customHeight="false" outlineLevel="0" collapsed="false">
      <c r="B5" s="422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422"/>
      <c r="N5" s="422"/>
      <c r="O5" s="422"/>
      <c r="P5" s="422"/>
      <c r="Q5" s="422"/>
      <c r="R5" s="422"/>
      <c r="S5" s="422"/>
      <c r="T5" s="422"/>
      <c r="U5" s="422"/>
      <c r="V5" s="422"/>
      <c r="W5" s="422"/>
      <c r="X5" s="422"/>
      <c r="Y5" s="422"/>
      <c r="Z5" s="422"/>
      <c r="AA5" s="422"/>
      <c r="AB5" s="422"/>
      <c r="AC5" s="422"/>
      <c r="AD5" s="422"/>
      <c r="AE5" s="422"/>
      <c r="AF5" s="422"/>
      <c r="AG5" s="422"/>
    </row>
    <row r="6" customFormat="false" ht="13.8" hidden="false" customHeight="false" outlineLevel="0" collapsed="false">
      <c r="B6" s="422"/>
      <c r="C6" s="493" t="s">
        <v>334</v>
      </c>
      <c r="D6" s="493"/>
      <c r="E6" s="493"/>
      <c r="F6" s="493"/>
      <c r="G6" s="422"/>
      <c r="H6" s="422"/>
      <c r="I6" s="422"/>
      <c r="J6" s="422"/>
      <c r="K6" s="422"/>
      <c r="L6" s="422"/>
      <c r="M6" s="422"/>
      <c r="N6" s="422"/>
      <c r="O6" s="422"/>
      <c r="P6" s="422"/>
      <c r="Q6" s="422"/>
      <c r="R6" s="422"/>
      <c r="S6" s="422"/>
      <c r="T6" s="422"/>
      <c r="U6" s="422"/>
      <c r="V6" s="422"/>
      <c r="W6" s="422"/>
      <c r="X6" s="422"/>
      <c r="Y6" s="422"/>
      <c r="Z6" s="422"/>
      <c r="AA6" s="422"/>
      <c r="AB6" s="422"/>
      <c r="AC6" s="422"/>
      <c r="AD6" s="422"/>
      <c r="AE6" s="422"/>
      <c r="AF6" s="422"/>
      <c r="AG6" s="422"/>
    </row>
    <row r="7" customFormat="false" ht="14.9" hidden="false" customHeight="false" outlineLevel="0" collapsed="false">
      <c r="B7" s="422"/>
      <c r="C7" s="493" t="s">
        <v>335</v>
      </c>
      <c r="D7" s="493"/>
      <c r="E7" s="493"/>
      <c r="F7" s="498" t="s">
        <v>336</v>
      </c>
      <c r="G7" s="499" t="n">
        <v>0.333333333333333</v>
      </c>
      <c r="H7" s="499"/>
      <c r="I7" s="498" t="s">
        <v>337</v>
      </c>
      <c r="J7" s="499" t="n">
        <v>0.833333333333333</v>
      </c>
      <c r="K7" s="499"/>
      <c r="L7" s="500" t="s">
        <v>338</v>
      </c>
      <c r="M7" s="500"/>
      <c r="N7" s="500"/>
      <c r="O7" s="500"/>
      <c r="P7" s="500"/>
      <c r="Q7" s="501" t="n">
        <f aca="false">IF(J7&lt;G7,J7+1,J7)-G7</f>
        <v>0.5</v>
      </c>
      <c r="R7" s="501"/>
      <c r="S7" s="422" t="s">
        <v>339</v>
      </c>
      <c r="T7" s="422"/>
      <c r="U7" s="422"/>
      <c r="V7" s="422"/>
      <c r="W7" s="422"/>
      <c r="X7" s="422"/>
      <c r="Y7" s="422"/>
      <c r="Z7" s="422"/>
      <c r="AA7" s="422"/>
      <c r="AB7" s="422"/>
      <c r="AC7" s="422"/>
      <c r="AD7" s="422"/>
      <c r="AE7" s="422"/>
      <c r="AF7" s="422"/>
      <c r="AG7" s="422"/>
    </row>
    <row r="8" customFormat="false" ht="6" hidden="false" customHeight="true" outlineLevel="0" collapsed="false">
      <c r="B8" s="422"/>
      <c r="C8" s="497"/>
      <c r="D8" s="497"/>
      <c r="E8" s="497"/>
      <c r="F8" s="498"/>
      <c r="G8" s="502"/>
      <c r="H8" s="502"/>
      <c r="I8" s="498"/>
      <c r="J8" s="503"/>
      <c r="K8" s="498"/>
      <c r="L8" s="498"/>
      <c r="M8" s="498"/>
      <c r="N8" s="498"/>
      <c r="O8" s="498"/>
      <c r="P8" s="498"/>
      <c r="Q8" s="504"/>
      <c r="R8" s="504"/>
      <c r="S8" s="422"/>
      <c r="T8" s="422"/>
      <c r="U8" s="422"/>
      <c r="V8" s="422"/>
      <c r="W8" s="422"/>
      <c r="X8" s="422"/>
      <c r="Y8" s="422"/>
      <c r="Z8" s="422"/>
      <c r="AA8" s="422"/>
      <c r="AB8" s="422"/>
      <c r="AC8" s="422"/>
      <c r="AD8" s="422"/>
      <c r="AE8" s="422"/>
      <c r="AF8" s="422"/>
      <c r="AG8" s="422"/>
    </row>
    <row r="9" customFormat="false" ht="14.9" hidden="false" customHeight="false" outlineLevel="0" collapsed="false">
      <c r="B9" s="422"/>
      <c r="C9" s="493" t="s">
        <v>340</v>
      </c>
      <c r="D9" s="493"/>
      <c r="E9" s="493"/>
      <c r="F9" s="498" t="s">
        <v>336</v>
      </c>
      <c r="G9" s="499"/>
      <c r="H9" s="499"/>
      <c r="I9" s="498" t="s">
        <v>337</v>
      </c>
      <c r="J9" s="499"/>
      <c r="K9" s="499"/>
      <c r="L9" s="500" t="s">
        <v>338</v>
      </c>
      <c r="M9" s="500"/>
      <c r="N9" s="500"/>
      <c r="O9" s="500"/>
      <c r="P9" s="500"/>
      <c r="Q9" s="501" t="n">
        <f aca="false">IF(J9&lt;G9,J9+1,J9)-G9</f>
        <v>0</v>
      </c>
      <c r="R9" s="501"/>
      <c r="S9" s="422" t="s">
        <v>339</v>
      </c>
      <c r="T9" s="422"/>
      <c r="U9" s="422"/>
      <c r="V9" s="422"/>
      <c r="W9" s="422"/>
      <c r="X9" s="422"/>
      <c r="Y9" s="422"/>
      <c r="Z9" s="422"/>
      <c r="AA9" s="422"/>
      <c r="AB9" s="422"/>
      <c r="AC9" s="422"/>
      <c r="AD9" s="422"/>
      <c r="AE9" s="422"/>
      <c r="AF9" s="422"/>
      <c r="AG9" s="422"/>
    </row>
    <row r="10" customFormat="false" ht="6" hidden="false" customHeight="true" outlineLevel="0" collapsed="false">
      <c r="B10" s="422"/>
      <c r="C10" s="497"/>
      <c r="D10" s="497"/>
      <c r="E10" s="497"/>
      <c r="F10" s="498"/>
      <c r="G10" s="502"/>
      <c r="H10" s="502"/>
      <c r="I10" s="498"/>
      <c r="J10" s="503"/>
      <c r="K10" s="498"/>
      <c r="L10" s="498"/>
      <c r="M10" s="498"/>
      <c r="N10" s="498"/>
      <c r="O10" s="498"/>
      <c r="P10" s="498"/>
      <c r="Q10" s="504"/>
      <c r="R10" s="504"/>
      <c r="S10" s="422"/>
      <c r="T10" s="422"/>
      <c r="U10" s="422"/>
      <c r="V10" s="422"/>
      <c r="W10" s="422"/>
      <c r="X10" s="422"/>
      <c r="Y10" s="422"/>
      <c r="Z10" s="422"/>
      <c r="AA10" s="422"/>
      <c r="AB10" s="422"/>
      <c r="AC10" s="422"/>
      <c r="AD10" s="422"/>
      <c r="AE10" s="422"/>
      <c r="AF10" s="422"/>
      <c r="AG10" s="422"/>
    </row>
    <row r="11" customFormat="false" ht="14.9" hidden="false" customHeight="false" outlineLevel="0" collapsed="false">
      <c r="B11" s="422"/>
      <c r="C11" s="493" t="s">
        <v>341</v>
      </c>
      <c r="D11" s="493"/>
      <c r="E11" s="493"/>
      <c r="F11" s="498" t="s">
        <v>336</v>
      </c>
      <c r="G11" s="499"/>
      <c r="H11" s="499"/>
      <c r="I11" s="498" t="s">
        <v>337</v>
      </c>
      <c r="J11" s="499"/>
      <c r="K11" s="499"/>
      <c r="L11" s="500" t="s">
        <v>338</v>
      </c>
      <c r="M11" s="500"/>
      <c r="N11" s="500"/>
      <c r="O11" s="500"/>
      <c r="P11" s="500"/>
      <c r="Q11" s="501" t="n">
        <f aca="false">IF(J11&lt;G11,J11+1,J11)-G11</f>
        <v>0</v>
      </c>
      <c r="R11" s="501"/>
      <c r="S11" s="422" t="s">
        <v>339</v>
      </c>
      <c r="T11" s="422"/>
      <c r="U11" s="422"/>
      <c r="V11" s="422"/>
      <c r="W11" s="422"/>
      <c r="X11" s="422"/>
      <c r="Y11" s="422"/>
      <c r="Z11" s="422"/>
      <c r="AA11" s="422"/>
      <c r="AB11" s="422"/>
      <c r="AC11" s="422"/>
      <c r="AD11" s="422"/>
      <c r="AE11" s="422"/>
      <c r="AF11" s="422"/>
      <c r="AG11" s="422"/>
    </row>
    <row r="12" customFormat="false" ht="6" hidden="false" customHeight="true" outlineLevel="0" collapsed="false">
      <c r="B12" s="422"/>
      <c r="C12" s="497"/>
      <c r="D12" s="497"/>
      <c r="E12" s="497"/>
      <c r="F12" s="498"/>
      <c r="G12" s="502"/>
      <c r="H12" s="502"/>
      <c r="I12" s="498"/>
      <c r="J12" s="503"/>
      <c r="K12" s="498"/>
      <c r="L12" s="498"/>
      <c r="M12" s="498"/>
      <c r="N12" s="498"/>
      <c r="O12" s="498"/>
      <c r="P12" s="498"/>
      <c r="Q12" s="504"/>
      <c r="R12" s="504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  <c r="AC12" s="422"/>
      <c r="AD12" s="422"/>
      <c r="AE12" s="422"/>
      <c r="AF12" s="422"/>
      <c r="AG12" s="422"/>
    </row>
    <row r="13" customFormat="false" ht="14.9" hidden="false" customHeight="false" outlineLevel="0" collapsed="false">
      <c r="B13" s="422"/>
      <c r="C13" s="493" t="s">
        <v>342</v>
      </c>
      <c r="D13" s="493"/>
      <c r="E13" s="493"/>
      <c r="F13" s="498" t="s">
        <v>336</v>
      </c>
      <c r="G13" s="499"/>
      <c r="H13" s="499"/>
      <c r="I13" s="498" t="s">
        <v>337</v>
      </c>
      <c r="J13" s="499"/>
      <c r="K13" s="499"/>
      <c r="L13" s="500" t="s">
        <v>338</v>
      </c>
      <c r="M13" s="500"/>
      <c r="N13" s="500"/>
      <c r="O13" s="500"/>
      <c r="P13" s="500"/>
      <c r="Q13" s="501" t="n">
        <f aca="false">IF(J13&lt;G13,J13+1,J13)-G13</f>
        <v>0</v>
      </c>
      <c r="R13" s="501"/>
      <c r="S13" s="422" t="s">
        <v>339</v>
      </c>
      <c r="T13" s="422"/>
      <c r="U13" s="422"/>
      <c r="V13" s="422"/>
      <c r="W13" s="422"/>
      <c r="X13" s="422"/>
      <c r="Y13" s="422"/>
      <c r="Z13" s="422"/>
      <c r="AA13" s="422"/>
      <c r="AB13" s="422"/>
      <c r="AC13" s="422"/>
      <c r="AD13" s="422"/>
      <c r="AE13" s="422"/>
      <c r="AF13" s="422"/>
      <c r="AG13" s="422"/>
    </row>
    <row r="14" customFormat="false" ht="6" hidden="false" customHeight="true" outlineLevel="0" collapsed="false">
      <c r="B14" s="422"/>
      <c r="C14" s="497"/>
      <c r="D14" s="497"/>
      <c r="E14" s="497"/>
      <c r="F14" s="498"/>
      <c r="G14" s="502"/>
      <c r="H14" s="502"/>
      <c r="I14" s="498"/>
      <c r="J14" s="503"/>
      <c r="K14" s="498"/>
      <c r="L14" s="498"/>
      <c r="M14" s="498"/>
      <c r="N14" s="498"/>
      <c r="O14" s="498"/>
      <c r="P14" s="498"/>
      <c r="Q14" s="503"/>
      <c r="R14" s="503"/>
      <c r="S14" s="422"/>
      <c r="T14" s="422"/>
      <c r="U14" s="422"/>
      <c r="V14" s="422"/>
      <c r="W14" s="422"/>
      <c r="X14" s="422"/>
      <c r="Y14" s="422"/>
      <c r="Z14" s="422"/>
      <c r="AA14" s="422"/>
      <c r="AB14" s="422"/>
      <c r="AC14" s="422"/>
      <c r="AD14" s="422"/>
      <c r="AE14" s="422"/>
      <c r="AF14" s="422"/>
      <c r="AG14" s="422"/>
    </row>
    <row r="15" customFormat="false" ht="14.9" hidden="false" customHeight="false" outlineLevel="0" collapsed="false">
      <c r="B15" s="422"/>
      <c r="C15" s="497" t="s">
        <v>343</v>
      </c>
      <c r="D15" s="497"/>
      <c r="E15" s="497"/>
      <c r="F15" s="422"/>
      <c r="G15" s="422"/>
      <c r="H15" s="422"/>
      <c r="I15" s="422"/>
      <c r="J15" s="422"/>
      <c r="K15" s="422"/>
      <c r="L15" s="422"/>
      <c r="M15" s="422"/>
      <c r="N15" s="422"/>
      <c r="O15" s="422"/>
      <c r="P15" s="422"/>
      <c r="Q15" s="422"/>
      <c r="R15" s="422"/>
      <c r="S15" s="422"/>
      <c r="T15" s="422"/>
      <c r="U15" s="422"/>
      <c r="V15" s="422"/>
      <c r="W15" s="422"/>
      <c r="X15" s="422"/>
      <c r="Y15" s="422"/>
      <c r="Z15" s="422"/>
      <c r="AA15" s="422"/>
      <c r="AB15" s="422"/>
      <c r="AC15" s="422"/>
      <c r="AD15" s="422"/>
      <c r="AE15" s="422"/>
      <c r="AF15" s="422"/>
      <c r="AG15" s="422"/>
    </row>
    <row r="16" customFormat="false" ht="6" hidden="false" customHeight="true" outlineLevel="0" collapsed="false">
      <c r="B16" s="422"/>
      <c r="C16" s="497"/>
      <c r="D16" s="497"/>
      <c r="E16" s="497"/>
      <c r="F16" s="422"/>
      <c r="G16" s="422"/>
      <c r="H16" s="422"/>
      <c r="I16" s="422"/>
      <c r="J16" s="422"/>
      <c r="K16" s="422"/>
      <c r="L16" s="422"/>
      <c r="M16" s="422"/>
      <c r="N16" s="422"/>
      <c r="O16" s="422"/>
      <c r="P16" s="422"/>
      <c r="Q16" s="422"/>
      <c r="R16" s="422"/>
      <c r="S16" s="422"/>
      <c r="T16" s="422"/>
      <c r="U16" s="422"/>
      <c r="V16" s="422"/>
      <c r="W16" s="422"/>
      <c r="X16" s="422"/>
      <c r="Y16" s="422"/>
      <c r="Z16" s="422"/>
      <c r="AA16" s="422"/>
      <c r="AB16" s="422"/>
      <c r="AC16" s="422"/>
      <c r="AD16" s="422"/>
      <c r="AE16" s="422"/>
      <c r="AF16" s="422"/>
      <c r="AG16" s="422"/>
    </row>
    <row r="17" customFormat="false" ht="14.9" hidden="false" customHeight="false" outlineLevel="0" collapsed="false">
      <c r="B17" s="422"/>
      <c r="C17" s="505" t="s">
        <v>344</v>
      </c>
      <c r="D17" s="505"/>
      <c r="E17" s="505"/>
      <c r="F17" s="422"/>
      <c r="G17" s="422"/>
      <c r="H17" s="422"/>
      <c r="I17" s="422"/>
      <c r="J17" s="422"/>
      <c r="K17" s="422"/>
      <c r="L17" s="422"/>
      <c r="M17" s="422"/>
      <c r="N17" s="422"/>
      <c r="O17" s="422"/>
      <c r="P17" s="422"/>
      <c r="Q17" s="422"/>
      <c r="R17" s="422"/>
      <c r="S17" s="422"/>
      <c r="T17" s="422"/>
      <c r="U17" s="422"/>
      <c r="V17" s="422"/>
      <c r="W17" s="422"/>
      <c r="X17" s="422"/>
      <c r="Y17" s="422"/>
      <c r="Z17" s="422"/>
      <c r="AA17" s="422"/>
      <c r="AB17" s="422"/>
      <c r="AC17" s="422"/>
      <c r="AD17" s="422"/>
      <c r="AE17" s="422"/>
      <c r="AF17" s="422"/>
      <c r="AG17" s="422"/>
      <c r="AJ17" s="506" t="n">
        <v>0.333333333333333</v>
      </c>
    </row>
    <row r="18" customFormat="false" ht="6" hidden="false" customHeight="true" outlineLevel="0" collapsed="false">
      <c r="B18" s="422"/>
      <c r="C18" s="422"/>
      <c r="D18" s="422"/>
      <c r="E18" s="422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22"/>
      <c r="Q18" s="422"/>
      <c r="R18" s="422"/>
      <c r="S18" s="422"/>
      <c r="T18" s="422"/>
      <c r="U18" s="422"/>
      <c r="V18" s="422"/>
      <c r="W18" s="422"/>
      <c r="X18" s="422"/>
      <c r="Y18" s="422"/>
      <c r="Z18" s="422"/>
      <c r="AA18" s="422"/>
      <c r="AB18" s="422"/>
      <c r="AC18" s="422"/>
      <c r="AD18" s="422"/>
      <c r="AE18" s="422"/>
      <c r="AF18" s="422"/>
      <c r="AG18" s="422"/>
    </row>
    <row r="19" customFormat="false" ht="13.8" hidden="false" customHeight="false" outlineLevel="0" collapsed="false">
      <c r="B19" s="507" t="s">
        <v>345</v>
      </c>
      <c r="C19" s="508" t="s">
        <v>346</v>
      </c>
      <c r="D19" s="509" t="n">
        <v>1</v>
      </c>
      <c r="E19" s="510" t="n">
        <v>2</v>
      </c>
      <c r="F19" s="510" t="n">
        <v>3</v>
      </c>
      <c r="G19" s="510" t="n">
        <v>4</v>
      </c>
      <c r="H19" s="510" t="n">
        <v>5</v>
      </c>
      <c r="I19" s="511" t="n">
        <v>6</v>
      </c>
      <c r="J19" s="511" t="n">
        <v>7</v>
      </c>
      <c r="K19" s="510" t="n">
        <v>8</v>
      </c>
      <c r="L19" s="510" t="n">
        <v>9</v>
      </c>
      <c r="M19" s="510" t="n">
        <v>10</v>
      </c>
      <c r="N19" s="510" t="n">
        <v>11</v>
      </c>
      <c r="O19" s="510" t="n">
        <v>12</v>
      </c>
      <c r="P19" s="511" t="n">
        <v>13</v>
      </c>
      <c r="Q19" s="511" t="n">
        <v>14</v>
      </c>
      <c r="R19" s="510" t="n">
        <v>15</v>
      </c>
      <c r="S19" s="510" t="n">
        <v>16</v>
      </c>
      <c r="T19" s="510" t="n">
        <v>17</v>
      </c>
      <c r="U19" s="510" t="n">
        <v>18</v>
      </c>
      <c r="V19" s="510" t="n">
        <v>19</v>
      </c>
      <c r="W19" s="511" t="n">
        <v>20</v>
      </c>
      <c r="X19" s="511" t="n">
        <v>21</v>
      </c>
      <c r="Y19" s="510" t="n">
        <v>22</v>
      </c>
      <c r="Z19" s="510" t="n">
        <v>23</v>
      </c>
      <c r="AA19" s="510" t="n">
        <v>24</v>
      </c>
      <c r="AB19" s="510" t="n">
        <v>25</v>
      </c>
      <c r="AC19" s="512" t="n">
        <v>26</v>
      </c>
      <c r="AD19" s="511" t="n">
        <v>27</v>
      </c>
      <c r="AE19" s="511" t="n">
        <v>28</v>
      </c>
      <c r="AF19" s="510" t="n">
        <v>29</v>
      </c>
      <c r="AG19" s="513" t="n">
        <v>30</v>
      </c>
      <c r="AJ19" s="0" t="n">
        <v>1</v>
      </c>
      <c r="AK19" s="0" t="n">
        <v>2</v>
      </c>
      <c r="AL19" s="0" t="n">
        <v>3</v>
      </c>
      <c r="AM19" s="0" t="n">
        <v>4</v>
      </c>
      <c r="AN19" s="0" t="n">
        <v>5</v>
      </c>
      <c r="AO19" s="0" t="n">
        <v>6</v>
      </c>
      <c r="AP19" s="0" t="n">
        <v>7</v>
      </c>
      <c r="AQ19" s="0" t="n">
        <v>8</v>
      </c>
      <c r="AR19" s="0" t="n">
        <v>9</v>
      </c>
      <c r="AS19" s="0" t="n">
        <v>10</v>
      </c>
      <c r="AT19" s="0" t="n">
        <v>11</v>
      </c>
      <c r="AU19" s="0" t="n">
        <v>12</v>
      </c>
      <c r="AV19" s="0" t="n">
        <v>13</v>
      </c>
      <c r="AW19" s="0" t="n">
        <v>14</v>
      </c>
      <c r="AX19" s="0" t="n">
        <v>15</v>
      </c>
      <c r="AY19" s="0" t="n">
        <v>16</v>
      </c>
      <c r="AZ19" s="0" t="n">
        <v>17</v>
      </c>
      <c r="BA19" s="0" t="n">
        <v>18</v>
      </c>
      <c r="BB19" s="0" t="n">
        <v>19</v>
      </c>
      <c r="BC19" s="0" t="n">
        <v>20</v>
      </c>
      <c r="BD19" s="0" t="n">
        <v>21</v>
      </c>
      <c r="BE19" s="0" t="n">
        <v>22</v>
      </c>
      <c r="BF19" s="0" t="n">
        <v>23</v>
      </c>
      <c r="BG19" s="0" t="n">
        <v>24</v>
      </c>
      <c r="BH19" s="0" t="n">
        <v>25</v>
      </c>
      <c r="BI19" s="0" t="n">
        <v>26</v>
      </c>
      <c r="BJ19" s="0" t="n">
        <v>27</v>
      </c>
      <c r="BK19" s="0" t="n">
        <v>28</v>
      </c>
      <c r="BL19" s="0" t="n">
        <v>29</v>
      </c>
      <c r="BM19" s="0" t="n">
        <v>30</v>
      </c>
    </row>
    <row r="20" customFormat="false" ht="14.9" hidden="false" customHeight="false" outlineLevel="0" collapsed="false">
      <c r="B20" s="442" t="s">
        <v>315</v>
      </c>
      <c r="C20" s="514" t="n">
        <f aca="false">SUM(AJ20:BM20)</f>
        <v>0</v>
      </c>
      <c r="D20" s="515"/>
      <c r="E20" s="443"/>
      <c r="F20" s="443"/>
      <c r="G20" s="443"/>
      <c r="H20" s="443"/>
      <c r="I20" s="443"/>
      <c r="J20" s="443"/>
      <c r="K20" s="443"/>
      <c r="L20" s="443"/>
      <c r="M20" s="443"/>
      <c r="N20" s="443"/>
      <c r="O20" s="443"/>
      <c r="P20" s="443"/>
      <c r="Q20" s="443"/>
      <c r="R20" s="443"/>
      <c r="S20" s="443"/>
      <c r="T20" s="443"/>
      <c r="U20" s="443"/>
      <c r="V20" s="443"/>
      <c r="W20" s="443"/>
      <c r="X20" s="443"/>
      <c r="Y20" s="443"/>
      <c r="Z20" s="443"/>
      <c r="AA20" s="443"/>
      <c r="AB20" s="443"/>
      <c r="AC20" s="443"/>
      <c r="AD20" s="443"/>
      <c r="AE20" s="443"/>
      <c r="AF20" s="443"/>
      <c r="AG20" s="516"/>
      <c r="AJ20" s="0" t="n">
        <f aca="false">IF(D20=8,$AJ$17,IF(D20=1,$Q$7,IF(D20=2,$Q$9,IF(D20=3,$Q$11,IF(D20=4,$Q$13,0)))))*24</f>
        <v>0</v>
      </c>
      <c r="AK20" s="0" t="n">
        <f aca="false">IF(E20=8,$AJ$17,IF(E20=1,$Q$7,IF(E20=2,$Q$9,IF(E20=3,$Q$11,IF(E20=4,$Q$13,0)))))*24</f>
        <v>0</v>
      </c>
      <c r="AL20" s="0" t="n">
        <f aca="false">IF(F20=8,$AJ$17,IF(F20=1,$Q$7,IF(F20=2,$Q$9,IF(F20=3,$Q$11,IF(F20=4,$Q$13,0)))))*24</f>
        <v>0</v>
      </c>
      <c r="AM20" s="0" t="n">
        <f aca="false">IF(G20=8,$AJ$17,IF(G20=1,$Q$7,IF(G20=2,$Q$9,IF(G20=3,$Q$11,IF(G20=4,$Q$13,0)))))*24</f>
        <v>0</v>
      </c>
      <c r="AN20" s="0" t="n">
        <f aca="false">IF(H20=8,$AJ$17,IF(H20=1,$Q$7,IF(H20=2,$Q$9,IF(H20=3,$Q$11,IF(H20=4,$Q$13,0)))))*24</f>
        <v>0</v>
      </c>
      <c r="AO20" s="0" t="n">
        <f aca="false">IF(I20=8,$AJ$17,IF(I20=1,$Q$7,IF(I20=2,$Q$9,IF(I20=3,$Q$11,IF(I20=4,$Q$13,0)))))*24</f>
        <v>0</v>
      </c>
      <c r="AP20" s="0" t="n">
        <f aca="false">IF(J20=8,$AJ$17,IF(J20=1,$Q$7,IF(J20=2,$Q$9,IF(J20=3,$Q$11,IF(J20=4,$Q$13,0)))))*24</f>
        <v>0</v>
      </c>
      <c r="AQ20" s="0" t="n">
        <f aca="false">IF(K20=8,$AJ$17,IF(K20=1,$Q$7,IF(K20=2,$Q$9,IF(K20=3,$Q$11,IF(K20=4,$Q$13,0)))))*24</f>
        <v>0</v>
      </c>
      <c r="AR20" s="0" t="n">
        <f aca="false">IF(L20=8,$AJ$17,IF(L20=1,$Q$7,IF(L20=2,$Q$9,IF(L20=3,$Q$11,IF(L20=4,$Q$13,0)))))*24</f>
        <v>0</v>
      </c>
      <c r="AS20" s="0" t="n">
        <f aca="false">IF(M20=8,$AJ$17,IF(M20=1,$Q$7,IF(M20=2,$Q$9,IF(M20=3,$Q$11,IF(M20=4,$Q$13,0)))))*24</f>
        <v>0</v>
      </c>
      <c r="AT20" s="0" t="n">
        <f aca="false">IF(N20=8,$AJ$17,IF(N20=1,$Q$7,IF(N20=2,$Q$9,IF(N20=3,$Q$11,IF(N20=4,$Q$13,0)))))*24</f>
        <v>0</v>
      </c>
      <c r="AU20" s="0" t="n">
        <f aca="false">IF(O20=8,$AJ$17,IF(O20=1,$Q$7,IF(O20=2,$Q$9,IF(O20=3,$Q$11,IF(O20=4,$Q$13,0)))))*24</f>
        <v>0</v>
      </c>
      <c r="AV20" s="0" t="n">
        <f aca="false">IF(P20=8,$AJ$17,IF(P20=1,$Q$7,IF(P20=2,$Q$9,IF(P20=3,$Q$11,IF(P20=4,$Q$13,0)))))*24</f>
        <v>0</v>
      </c>
      <c r="AW20" s="0" t="n">
        <f aca="false">IF(Q20=8,$AJ$17,IF(Q20=1,$Q$7,IF(Q20=2,$Q$9,IF(Q20=3,$Q$11,IF(Q20=4,$Q$13,0)))))*24</f>
        <v>0</v>
      </c>
      <c r="AX20" s="0" t="n">
        <f aca="false">IF(R20=8,$AJ$17,IF(R20=1,$Q$7,IF(R20=2,$Q$9,IF(R20=3,$Q$11,IF(R20=4,$Q$13,0)))))*24</f>
        <v>0</v>
      </c>
      <c r="AY20" s="0" t="n">
        <f aca="false">IF(S20=8,$AJ$17,IF(S20=1,$Q$7,IF(S20=2,$Q$9,IF(S20=3,$Q$11,IF(S20=4,$Q$13,0)))))*24</f>
        <v>0</v>
      </c>
      <c r="AZ20" s="0" t="n">
        <f aca="false">IF(T20=8,$AJ$17,IF(T20=1,$Q$7,IF(T20=2,$Q$9,IF(T20=3,$Q$11,IF(T20=4,$Q$13,0)))))*24</f>
        <v>0</v>
      </c>
      <c r="BA20" s="0" t="n">
        <f aca="false">IF(U20=8,$AJ$17,IF(U20=1,$Q$7,IF(U20=2,$Q$9,IF(U20=3,$Q$11,IF(U20=4,$Q$13,0)))))*24</f>
        <v>0</v>
      </c>
      <c r="BB20" s="0" t="n">
        <f aca="false">IF(V20=8,$AJ$17,IF(V20=1,$Q$7,IF(V20=2,$Q$9,IF(V20=3,$Q$11,IF(V20=4,$Q$13,0)))))*24</f>
        <v>0</v>
      </c>
      <c r="BC20" s="0" t="n">
        <f aca="false">IF(W20=8,$AJ$17,IF(W20=1,$Q$7,IF(W20=2,$Q$9,IF(W20=3,$Q$11,IF(W20=4,$Q$13,0)))))*24</f>
        <v>0</v>
      </c>
      <c r="BD20" s="0" t="n">
        <f aca="false">IF(X20=8,$AJ$17,IF(X20=1,$Q$7,IF(X20=2,$Q$9,IF(X20=3,$Q$11,IF(X20=4,$Q$13,0)))))*24</f>
        <v>0</v>
      </c>
      <c r="BE20" s="0" t="n">
        <f aca="false">IF(Y20=8,$AJ$17,IF(Y20=1,$Q$7,IF(Y20=2,$Q$9,IF(Y20=3,$Q$11,IF(Y20=4,$Q$13,0)))))*24</f>
        <v>0</v>
      </c>
      <c r="BF20" s="0" t="n">
        <f aca="false">IF(Z20=8,$AJ$17,IF(Z20=1,$Q$7,IF(Z20=2,$Q$9,IF(Z20=3,$Q$11,IF(Z20=4,$Q$13,0)))))*24</f>
        <v>0</v>
      </c>
      <c r="BG20" s="0" t="n">
        <f aca="false">IF(AA20=8,$AJ$17,IF(AA20=1,$Q$7,IF(AA20=2,$Q$9,IF(AA20=3,$Q$11,IF(AA20=4,$Q$13,0)))))*24</f>
        <v>0</v>
      </c>
      <c r="BH20" s="0" t="n">
        <f aca="false">IF(AB20=8,$AJ$17,IF(AB20=1,$Q$7,IF(AB20=2,$Q$9,IF(AB20=3,$Q$11,IF(AB20=4,$Q$13,0)))))*24</f>
        <v>0</v>
      </c>
      <c r="BI20" s="0" t="n">
        <f aca="false">IF(AC20=8,$AJ$17,IF(AC20=1,$Q$7,IF(AC20=2,$Q$9,IF(AC20=3,$Q$11,IF(AC20=4,$Q$13,0)))))*24</f>
        <v>0</v>
      </c>
      <c r="BJ20" s="0" t="n">
        <f aca="false">IF(AD20=8,$AJ$17,IF(AD20=1,$Q$7,IF(AD20=2,$Q$9,IF(AD20=3,$Q$11,IF(AD20=4,$Q$13,0)))))*24</f>
        <v>0</v>
      </c>
      <c r="BK20" s="0" t="n">
        <f aca="false">IF(AE20=8,$AJ$17,IF(AE20=1,$Q$7,IF(AE20=2,$Q$9,IF(AE20=3,$Q$11,IF(AE20=4,$Q$13,0)))))*24</f>
        <v>0</v>
      </c>
      <c r="BL20" s="0" t="n">
        <f aca="false">IF(AF20=8,$AJ$17,IF(AF20=1,$Q$7,IF(AF20=2,$Q$9,IF(AF20=3,$Q$11,IF(AF20=4,$Q$13,0)))))*24</f>
        <v>0</v>
      </c>
      <c r="BM20" s="0" t="n">
        <f aca="false">IF(AG20=8,$AJ$17,IF(AG20=1,$Q$7,IF(AG20=2,$Q$9,IF(AG20=3,$Q$11,IF(AG20=4,$Q$13,0)))))*24</f>
        <v>0</v>
      </c>
    </row>
    <row r="21" customFormat="false" ht="14.9" hidden="false" customHeight="false" outlineLevel="0" collapsed="false">
      <c r="B21" s="451" t="s">
        <v>316</v>
      </c>
      <c r="C21" s="517" t="n">
        <f aca="false">SUM(AJ21:BM21)</f>
        <v>88</v>
      </c>
      <c r="D21" s="518" t="n">
        <v>8</v>
      </c>
      <c r="E21" s="452" t="n">
        <v>8</v>
      </c>
      <c r="F21" s="452" t="n">
        <v>8</v>
      </c>
      <c r="G21" s="519" t="s">
        <v>347</v>
      </c>
      <c r="H21" s="519" t="s">
        <v>347</v>
      </c>
      <c r="I21" s="519" t="s">
        <v>347</v>
      </c>
      <c r="J21" s="519" t="s">
        <v>347</v>
      </c>
      <c r="K21" s="452" t="n">
        <v>8</v>
      </c>
      <c r="L21" s="452" t="n">
        <v>8</v>
      </c>
      <c r="M21" s="519" t="s">
        <v>347</v>
      </c>
      <c r="N21" s="519" t="s">
        <v>347</v>
      </c>
      <c r="O21" s="519" t="s">
        <v>347</v>
      </c>
      <c r="P21" s="519" t="s">
        <v>347</v>
      </c>
      <c r="Q21" s="519" t="s">
        <v>347</v>
      </c>
      <c r="R21" s="452" t="n">
        <v>8</v>
      </c>
      <c r="S21" s="452" t="n">
        <v>8</v>
      </c>
      <c r="T21" s="519" t="s">
        <v>347</v>
      </c>
      <c r="U21" s="519" t="s">
        <v>347</v>
      </c>
      <c r="V21" s="519" t="s">
        <v>347</v>
      </c>
      <c r="W21" s="519" t="s">
        <v>347</v>
      </c>
      <c r="X21" s="519" t="s">
        <v>347</v>
      </c>
      <c r="Y21" s="452" t="n">
        <v>8</v>
      </c>
      <c r="Z21" s="452" t="n">
        <v>8</v>
      </c>
      <c r="AA21" s="519" t="s">
        <v>347</v>
      </c>
      <c r="AB21" s="519" t="s">
        <v>347</v>
      </c>
      <c r="AC21" s="519" t="s">
        <v>347</v>
      </c>
      <c r="AD21" s="519" t="s">
        <v>347</v>
      </c>
      <c r="AE21" s="519" t="s">
        <v>347</v>
      </c>
      <c r="AF21" s="452" t="n">
        <v>8</v>
      </c>
      <c r="AG21" s="520" t="n">
        <v>8</v>
      </c>
      <c r="AJ21" s="0" t="n">
        <f aca="false">IF(D21=8,$AJ$17,IF(D21=1,$Q$7,IF(D21=2,$Q$9,IF(D21=3,$Q$11,IF(D21=4,$Q$13,0)))))*24</f>
        <v>8</v>
      </c>
      <c r="AK21" s="0" t="n">
        <f aca="false">IF(E21=8,$AJ$17,IF(E21=1,$Q$7,IF(E21=2,$Q$9,IF(E21=3,$Q$11,IF(E21=4,$Q$13,0)))))*24</f>
        <v>8</v>
      </c>
      <c r="AL21" s="0" t="n">
        <f aca="false">IF(F21=8,$AJ$17,IF(F21=1,$Q$7,IF(F21=2,$Q$9,IF(F21=3,$Q$11,IF(F21=4,$Q$13,0)))))*24</f>
        <v>8</v>
      </c>
      <c r="AM21" s="0" t="n">
        <f aca="false">IF(G21=8,$AJ$17,IF(G21=1,$Q$7,IF(G21=2,$Q$9,IF(G21=3,$Q$11,IF(G21=4,$Q$13,0)))))*24</f>
        <v>0</v>
      </c>
      <c r="AN21" s="0" t="n">
        <f aca="false">IF(H21=8,$AJ$17,IF(H21=1,$Q$7,IF(H21=2,$Q$9,IF(H21=3,$Q$11,IF(H21=4,$Q$13,0)))))*24</f>
        <v>0</v>
      </c>
      <c r="AO21" s="0" t="n">
        <f aca="false">IF(I21=8,$AJ$17,IF(I21=1,$Q$7,IF(I21=2,$Q$9,IF(I21=3,$Q$11,IF(I21=4,$Q$13,0)))))*24</f>
        <v>0</v>
      </c>
      <c r="AP21" s="0" t="n">
        <f aca="false">IF(J21=8,$AJ$17,IF(J21=1,$Q$7,IF(J21=2,$Q$9,IF(J21=3,$Q$11,IF(J21=4,$Q$13,0)))))*24</f>
        <v>0</v>
      </c>
      <c r="AQ21" s="0" t="n">
        <f aca="false">IF(K21=8,$AJ$17,IF(K21=1,$Q$7,IF(K21=2,$Q$9,IF(K21=3,$Q$11,IF(K21=4,$Q$13,0)))))*24</f>
        <v>8</v>
      </c>
      <c r="AR21" s="0" t="n">
        <f aca="false">IF(L21=8,$AJ$17,IF(L21=1,$Q$7,IF(L21=2,$Q$9,IF(L21=3,$Q$11,IF(L21=4,$Q$13,0)))))*24</f>
        <v>8</v>
      </c>
      <c r="AS21" s="0" t="n">
        <f aca="false">IF(M21=8,$AJ$17,IF(M21=1,$Q$7,IF(M21=2,$Q$9,IF(M21=3,$Q$11,IF(M21=4,$Q$13,0)))))*24</f>
        <v>0</v>
      </c>
      <c r="AT21" s="0" t="n">
        <f aca="false">IF(N21=8,$AJ$17,IF(N21=1,$Q$7,IF(N21=2,$Q$9,IF(N21=3,$Q$11,IF(N21=4,$Q$13,0)))))*24</f>
        <v>0</v>
      </c>
      <c r="AU21" s="0" t="n">
        <f aca="false">IF(O21=8,$AJ$17,IF(O21=1,$Q$7,IF(O21=2,$Q$9,IF(O21=3,$Q$11,IF(O21=4,$Q$13,0)))))*24</f>
        <v>0</v>
      </c>
      <c r="AV21" s="0" t="n">
        <f aca="false">IF(P21=8,$AJ$17,IF(P21=1,$Q$7,IF(P21=2,$Q$9,IF(P21=3,$Q$11,IF(P21=4,$Q$13,0)))))*24</f>
        <v>0</v>
      </c>
      <c r="AW21" s="0" t="n">
        <f aca="false">IF(Q21=8,$AJ$17,IF(Q21=1,$Q$7,IF(Q21=2,$Q$9,IF(Q21=3,$Q$11,IF(Q21=4,$Q$13,0)))))*24</f>
        <v>0</v>
      </c>
      <c r="AX21" s="0" t="n">
        <f aca="false">IF(R21=8,$AJ$17,IF(R21=1,$Q$7,IF(R21=2,$Q$9,IF(R21=3,$Q$11,IF(R21=4,$Q$13,0)))))*24</f>
        <v>8</v>
      </c>
      <c r="AY21" s="0" t="n">
        <f aca="false">IF(S21=8,$AJ$17,IF(S21=1,$Q$7,IF(S21=2,$Q$9,IF(S21=3,$Q$11,IF(S21=4,$Q$13,0)))))*24</f>
        <v>8</v>
      </c>
      <c r="AZ21" s="0" t="n">
        <f aca="false">IF(T21=8,$AJ$17,IF(T21=1,$Q$7,IF(T21=2,$Q$9,IF(T21=3,$Q$11,IF(T21=4,$Q$13,0)))))*24</f>
        <v>0</v>
      </c>
      <c r="BA21" s="0" t="n">
        <f aca="false">IF(U21=8,$AJ$17,IF(U21=1,$Q$7,IF(U21=2,$Q$9,IF(U21=3,$Q$11,IF(U21=4,$Q$13,0)))))*24</f>
        <v>0</v>
      </c>
      <c r="BB21" s="0" t="n">
        <f aca="false">IF(V21=8,$AJ$17,IF(V21=1,$Q$7,IF(V21=2,$Q$9,IF(V21=3,$Q$11,IF(V21=4,$Q$13,0)))))*24</f>
        <v>0</v>
      </c>
      <c r="BC21" s="0" t="n">
        <f aca="false">IF(W21=8,$AJ$17,IF(W21=1,$Q$7,IF(W21=2,$Q$9,IF(W21=3,$Q$11,IF(W21=4,$Q$13,0)))))*24</f>
        <v>0</v>
      </c>
      <c r="BD21" s="0" t="n">
        <f aca="false">IF(X21=8,$AJ$17,IF(X21=1,$Q$7,IF(X21=2,$Q$9,IF(X21=3,$Q$11,IF(X21=4,$Q$13,0)))))*24</f>
        <v>0</v>
      </c>
      <c r="BE21" s="0" t="n">
        <f aca="false">IF(Y21=8,$AJ$17,IF(Y21=1,$Q$7,IF(Y21=2,$Q$9,IF(Y21=3,$Q$11,IF(Y21=4,$Q$13,0)))))*24</f>
        <v>8</v>
      </c>
      <c r="BF21" s="0" t="n">
        <f aca="false">IF(Z21=8,$AJ$17,IF(Z21=1,$Q$7,IF(Z21=2,$Q$9,IF(Z21=3,$Q$11,IF(Z21=4,$Q$13,0)))))*24</f>
        <v>8</v>
      </c>
      <c r="BG21" s="0" t="n">
        <f aca="false">IF(AA21=8,$AJ$17,IF(AA21=1,$Q$7,IF(AA21=2,$Q$9,IF(AA21=3,$Q$11,IF(AA21=4,$Q$13,0)))))*24</f>
        <v>0</v>
      </c>
      <c r="BH21" s="0" t="n">
        <f aca="false">IF(AB21=8,$AJ$17,IF(AB21=1,$Q$7,IF(AB21=2,$Q$9,IF(AB21=3,$Q$11,IF(AB21=4,$Q$13,0)))))*24</f>
        <v>0</v>
      </c>
      <c r="BI21" s="0" t="n">
        <f aca="false">IF(AC21=8,$AJ$17,IF(AC21=1,$Q$7,IF(AC21=2,$Q$9,IF(AC21=3,$Q$11,IF(AC21=4,$Q$13,0)))))*24</f>
        <v>0</v>
      </c>
      <c r="BJ21" s="0" t="n">
        <f aca="false">IF(AD21=8,$AJ$17,IF(AD21=1,$Q$7,IF(AD21=2,$Q$9,IF(AD21=3,$Q$11,IF(AD21=4,$Q$13,0)))))*24</f>
        <v>0</v>
      </c>
      <c r="BK21" s="0" t="n">
        <f aca="false">IF(AE21=8,$AJ$17,IF(AE21=1,$Q$7,IF(AE21=2,$Q$9,IF(AE21=3,$Q$11,IF(AE21=4,$Q$13,0)))))*24</f>
        <v>0</v>
      </c>
      <c r="BL21" s="0" t="n">
        <f aca="false">IF(AF21=8,$AJ$17,IF(AF21=1,$Q$7,IF(AF21=2,$Q$9,IF(AF21=3,$Q$11,IF(AF21=4,$Q$13,0)))))*24</f>
        <v>8</v>
      </c>
      <c r="BM21" s="0" t="n">
        <f aca="false">IF(AG21=8,$AJ$17,IF(AG21=1,$Q$7,IF(AG21=2,$Q$9,IF(AG21=3,$Q$11,IF(AG21=4,$Q$13,0)))))*24</f>
        <v>8</v>
      </c>
    </row>
    <row r="22" customFormat="false" ht="14.9" hidden="false" customHeight="false" outlineLevel="0" collapsed="false">
      <c r="B22" s="451" t="s">
        <v>348</v>
      </c>
      <c r="C22" s="521" t="n">
        <f aca="false">SUM(AJ22:BM22)</f>
        <v>180</v>
      </c>
      <c r="D22" s="518" t="n">
        <v>1</v>
      </c>
      <c r="E22" s="452" t="n">
        <v>1</v>
      </c>
      <c r="F22" s="452" t="n">
        <v>1</v>
      </c>
      <c r="G22" s="519" t="s">
        <v>347</v>
      </c>
      <c r="H22" s="519" t="s">
        <v>347</v>
      </c>
      <c r="I22" s="519" t="s">
        <v>347</v>
      </c>
      <c r="J22" s="452" t="n">
        <v>1</v>
      </c>
      <c r="K22" s="452" t="n">
        <v>1</v>
      </c>
      <c r="L22" s="452" t="n">
        <v>1</v>
      </c>
      <c r="M22" s="519" t="s">
        <v>347</v>
      </c>
      <c r="N22" s="519" t="s">
        <v>347</v>
      </c>
      <c r="O22" s="519" t="s">
        <v>347</v>
      </c>
      <c r="P22" s="452" t="n">
        <v>1</v>
      </c>
      <c r="Q22" s="452" t="n">
        <v>1</v>
      </c>
      <c r="R22" s="452" t="n">
        <v>1</v>
      </c>
      <c r="S22" s="519" t="s">
        <v>347</v>
      </c>
      <c r="T22" s="519" t="s">
        <v>347</v>
      </c>
      <c r="U22" s="519" t="s">
        <v>347</v>
      </c>
      <c r="V22" s="452" t="n">
        <v>1</v>
      </c>
      <c r="W22" s="452" t="n">
        <v>1</v>
      </c>
      <c r="X22" s="452" t="n">
        <v>1</v>
      </c>
      <c r="Y22" s="519" t="s">
        <v>347</v>
      </c>
      <c r="Z22" s="519" t="s">
        <v>347</v>
      </c>
      <c r="AA22" s="519" t="s">
        <v>347</v>
      </c>
      <c r="AB22" s="452" t="n">
        <v>1</v>
      </c>
      <c r="AC22" s="452" t="n">
        <v>1</v>
      </c>
      <c r="AD22" s="452" t="n">
        <v>1</v>
      </c>
      <c r="AE22" s="519" t="s">
        <v>347</v>
      </c>
      <c r="AF22" s="519" t="s">
        <v>347</v>
      </c>
      <c r="AG22" s="522" t="s">
        <v>347</v>
      </c>
      <c r="AJ22" s="0" t="n">
        <f aca="false">IF(D22=8,$AJ$17,IF(D22=1,$Q$7,IF(D22=2,$Q$9,IF(D22=3,$Q$11,IF(D22=4,$Q$13,0)))))*24</f>
        <v>12</v>
      </c>
      <c r="AK22" s="0" t="n">
        <f aca="false">IF(E22=8,$AJ$17,IF(E22=1,$Q$7,IF(E22=2,$Q$9,IF(E22=3,$Q$11,IF(E22=4,$Q$13,0)))))*24</f>
        <v>12</v>
      </c>
      <c r="AL22" s="0" t="n">
        <f aca="false">IF(F22=8,$AJ$17,IF(F22=1,$Q$7,IF(F22=2,$Q$9,IF(F22=3,$Q$11,IF(F22=4,$Q$13,0)))))*24</f>
        <v>12</v>
      </c>
      <c r="AM22" s="0" t="n">
        <f aca="false">IF(G22=8,$AJ$17,IF(G22=1,$Q$7,IF(G22=2,$Q$9,IF(G22=3,$Q$11,IF(G22=4,$Q$13,0)))))*24</f>
        <v>0</v>
      </c>
      <c r="AN22" s="0" t="n">
        <f aca="false">IF(H22=8,$AJ$17,IF(H22=1,$Q$7,IF(H22=2,$Q$9,IF(H22=3,$Q$11,IF(H22=4,$Q$13,0)))))*24</f>
        <v>0</v>
      </c>
      <c r="AO22" s="0" t="n">
        <f aca="false">IF(I22=8,$AJ$17,IF(I22=1,$Q$7,IF(I22=2,$Q$9,IF(I22=3,$Q$11,IF(I22=4,$Q$13,0)))))*24</f>
        <v>0</v>
      </c>
      <c r="AP22" s="0" t="n">
        <f aca="false">IF(J22=8,$AJ$17,IF(J22=1,$Q$7,IF(J22=2,$Q$9,IF(J22=3,$Q$11,IF(J22=4,$Q$13,0)))))*24</f>
        <v>12</v>
      </c>
      <c r="AQ22" s="0" t="n">
        <f aca="false">IF(K22=8,$AJ$17,IF(K22=1,$Q$7,IF(K22=2,$Q$9,IF(K22=3,$Q$11,IF(K22=4,$Q$13,0)))))*24</f>
        <v>12</v>
      </c>
      <c r="AR22" s="0" t="n">
        <f aca="false">IF(L22=8,$AJ$17,IF(L22=1,$Q$7,IF(L22=2,$Q$9,IF(L22=3,$Q$11,IF(L22=4,$Q$13,0)))))*24</f>
        <v>12</v>
      </c>
      <c r="AS22" s="0" t="n">
        <f aca="false">IF(M22=8,$AJ$17,IF(M22=1,$Q$7,IF(M22=2,$Q$9,IF(M22=3,$Q$11,IF(M22=4,$Q$13,0)))))*24</f>
        <v>0</v>
      </c>
      <c r="AT22" s="0" t="n">
        <f aca="false">IF(N22=8,$AJ$17,IF(N22=1,$Q$7,IF(N22=2,$Q$9,IF(N22=3,$Q$11,IF(N22=4,$Q$13,0)))))*24</f>
        <v>0</v>
      </c>
      <c r="AU22" s="0" t="n">
        <f aca="false">IF(O22=8,$AJ$17,IF(O22=1,$Q$7,IF(O22=2,$Q$9,IF(O22=3,$Q$11,IF(O22=4,$Q$13,0)))))*24</f>
        <v>0</v>
      </c>
      <c r="AV22" s="0" t="n">
        <f aca="false">IF(P22=8,$AJ$17,IF(P22=1,$Q$7,IF(P22=2,$Q$9,IF(P22=3,$Q$11,IF(P22=4,$Q$13,0)))))*24</f>
        <v>12</v>
      </c>
      <c r="AW22" s="0" t="n">
        <f aca="false">IF(Q22=8,$AJ$17,IF(Q22=1,$Q$7,IF(Q22=2,$Q$9,IF(Q22=3,$Q$11,IF(Q22=4,$Q$13,0)))))*24</f>
        <v>12</v>
      </c>
      <c r="AX22" s="0" t="n">
        <f aca="false">IF(R22=8,$AJ$17,IF(R22=1,$Q$7,IF(R22=2,$Q$9,IF(R22=3,$Q$11,IF(R22=4,$Q$13,0)))))*24</f>
        <v>12</v>
      </c>
      <c r="AY22" s="0" t="n">
        <f aca="false">IF(S22=8,$AJ$17,IF(S22=1,$Q$7,IF(S22=2,$Q$9,IF(S22=3,$Q$11,IF(S22=4,$Q$13,0)))))*24</f>
        <v>0</v>
      </c>
      <c r="AZ22" s="0" t="n">
        <f aca="false">IF(T22=8,$AJ$17,IF(T22=1,$Q$7,IF(T22=2,$Q$9,IF(T22=3,$Q$11,IF(T22=4,$Q$13,0)))))*24</f>
        <v>0</v>
      </c>
      <c r="BA22" s="0" t="n">
        <f aca="false">IF(U22=8,$AJ$17,IF(U22=1,$Q$7,IF(U22=2,$Q$9,IF(U22=3,$Q$11,IF(U22=4,$Q$13,0)))))*24</f>
        <v>0</v>
      </c>
      <c r="BB22" s="0" t="n">
        <f aca="false">IF(V22=8,$AJ$17,IF(V22=1,$Q$7,IF(V22=2,$Q$9,IF(V22=3,$Q$11,IF(V22=4,$Q$13,0)))))*24</f>
        <v>12</v>
      </c>
      <c r="BC22" s="0" t="n">
        <f aca="false">IF(W22=8,$AJ$17,IF(W22=1,$Q$7,IF(W22=2,$Q$9,IF(W22=3,$Q$11,IF(W22=4,$Q$13,0)))))*24</f>
        <v>12</v>
      </c>
      <c r="BD22" s="0" t="n">
        <f aca="false">IF(X22=8,$AJ$17,IF(X22=1,$Q$7,IF(X22=2,$Q$9,IF(X22=3,$Q$11,IF(X22=4,$Q$13,0)))))*24</f>
        <v>12</v>
      </c>
      <c r="BE22" s="0" t="n">
        <f aca="false">IF(Y22=8,$AJ$17,IF(Y22=1,$Q$7,IF(Y22=2,$Q$9,IF(Y22=3,$Q$11,IF(Y22=4,$Q$13,0)))))*24</f>
        <v>0</v>
      </c>
      <c r="BF22" s="0" t="n">
        <f aca="false">IF(Z22=8,$AJ$17,IF(Z22=1,$Q$7,IF(Z22=2,$Q$9,IF(Z22=3,$Q$11,IF(Z22=4,$Q$13,0)))))*24</f>
        <v>0</v>
      </c>
      <c r="BG22" s="0" t="n">
        <f aca="false">IF(AA22=8,$AJ$17,IF(AA22=1,$Q$7,IF(AA22=2,$Q$9,IF(AA22=3,$Q$11,IF(AA22=4,$Q$13,0)))))*24</f>
        <v>0</v>
      </c>
      <c r="BH22" s="0" t="n">
        <f aca="false">IF(AB22=8,$AJ$17,IF(AB22=1,$Q$7,IF(AB22=2,$Q$9,IF(AB22=3,$Q$11,IF(AB22=4,$Q$13,0)))))*24</f>
        <v>12</v>
      </c>
      <c r="BI22" s="0" t="n">
        <f aca="false">IF(AC22=8,$AJ$17,IF(AC22=1,$Q$7,IF(AC22=2,$Q$9,IF(AC22=3,$Q$11,IF(AC22=4,$Q$13,0)))))*24</f>
        <v>12</v>
      </c>
      <c r="BJ22" s="0" t="n">
        <f aca="false">IF(AD22=8,$AJ$17,IF(AD22=1,$Q$7,IF(AD22=2,$Q$9,IF(AD22=3,$Q$11,IF(AD22=4,$Q$13,0)))))*24</f>
        <v>12</v>
      </c>
      <c r="BK22" s="0" t="n">
        <f aca="false">IF(AE22=8,$AJ$17,IF(AE22=1,$Q$7,IF(AE22=2,$Q$9,IF(AE22=3,$Q$11,IF(AE22=4,$Q$13,0)))))*24</f>
        <v>0</v>
      </c>
      <c r="BL22" s="0" t="n">
        <f aca="false">IF(AF22=8,$AJ$17,IF(AF22=1,$Q$7,IF(AF22=2,$Q$9,IF(AF22=3,$Q$11,IF(AF22=4,$Q$13,0)))))*24</f>
        <v>0</v>
      </c>
      <c r="BM22" s="0" t="n">
        <f aca="false">IF(AG22=8,$AJ$17,IF(AG22=1,$Q$7,IF(AG22=2,$Q$9,IF(AG22=3,$Q$11,IF(AG22=4,$Q$13,0)))))*24</f>
        <v>0</v>
      </c>
    </row>
    <row r="23" customFormat="false" ht="14.9" hidden="false" customHeight="false" outlineLevel="0" collapsed="false">
      <c r="B23" s="451" t="s">
        <v>349</v>
      </c>
      <c r="C23" s="517" t="n">
        <f aca="false">SUM(AJ23:BM23)</f>
        <v>180</v>
      </c>
      <c r="D23" s="523" t="s">
        <v>347</v>
      </c>
      <c r="E23" s="519" t="s">
        <v>347</v>
      </c>
      <c r="F23" s="519" t="s">
        <v>347</v>
      </c>
      <c r="G23" s="452" t="n">
        <v>1</v>
      </c>
      <c r="H23" s="452" t="n">
        <v>1</v>
      </c>
      <c r="I23" s="452" t="n">
        <v>1</v>
      </c>
      <c r="J23" s="519" t="s">
        <v>347</v>
      </c>
      <c r="K23" s="519" t="s">
        <v>347</v>
      </c>
      <c r="L23" s="519" t="s">
        <v>347</v>
      </c>
      <c r="M23" s="452" t="n">
        <v>1</v>
      </c>
      <c r="N23" s="452" t="n">
        <v>1</v>
      </c>
      <c r="O23" s="452" t="n">
        <v>1</v>
      </c>
      <c r="P23" s="519" t="s">
        <v>347</v>
      </c>
      <c r="Q23" s="519" t="s">
        <v>347</v>
      </c>
      <c r="R23" s="519" t="s">
        <v>347</v>
      </c>
      <c r="S23" s="452" t="n">
        <v>1</v>
      </c>
      <c r="T23" s="452" t="n">
        <v>1</v>
      </c>
      <c r="U23" s="452" t="n">
        <v>1</v>
      </c>
      <c r="V23" s="519" t="s">
        <v>347</v>
      </c>
      <c r="W23" s="519" t="s">
        <v>347</v>
      </c>
      <c r="X23" s="519" t="s">
        <v>347</v>
      </c>
      <c r="Y23" s="452" t="n">
        <v>1</v>
      </c>
      <c r="Z23" s="452" t="n">
        <v>1</v>
      </c>
      <c r="AA23" s="452" t="n">
        <v>1</v>
      </c>
      <c r="AB23" s="519" t="s">
        <v>347</v>
      </c>
      <c r="AC23" s="519" t="s">
        <v>347</v>
      </c>
      <c r="AD23" s="519" t="s">
        <v>347</v>
      </c>
      <c r="AE23" s="452" t="n">
        <v>1</v>
      </c>
      <c r="AF23" s="452" t="n">
        <v>1</v>
      </c>
      <c r="AG23" s="520" t="n">
        <v>1</v>
      </c>
      <c r="AJ23" s="0" t="n">
        <f aca="false">IF(D23=8,$AJ$17,IF(D23=1,$Q$7,IF(D23=2,$Q$9,IF(D23=3,$Q$11,IF(D23=4,$Q$13,0)))))*24</f>
        <v>0</v>
      </c>
      <c r="AK23" s="0" t="n">
        <f aca="false">IF(E23=8,$AJ$17,IF(E23=1,$Q$7,IF(E23=2,$Q$9,IF(E23=3,$Q$11,IF(E23=4,$Q$13,0)))))*24</f>
        <v>0</v>
      </c>
      <c r="AL23" s="0" t="n">
        <f aca="false">IF(F23=8,$AJ$17,IF(F23=1,$Q$7,IF(F23=2,$Q$9,IF(F23=3,$Q$11,IF(F23=4,$Q$13,0)))))*24</f>
        <v>0</v>
      </c>
      <c r="AM23" s="0" t="n">
        <f aca="false">IF(G23=8,$AJ$17,IF(G23=1,$Q$7,IF(G23=2,$Q$9,IF(G23=3,$Q$11,IF(G23=4,$Q$13,0)))))*24</f>
        <v>12</v>
      </c>
      <c r="AN23" s="0" t="n">
        <f aca="false">IF(H23=8,$AJ$17,IF(H23=1,$Q$7,IF(H23=2,$Q$9,IF(H23=3,$Q$11,IF(H23=4,$Q$13,0)))))*24</f>
        <v>12</v>
      </c>
      <c r="AO23" s="0" t="n">
        <f aca="false">IF(I23=8,$AJ$17,IF(I23=1,$Q$7,IF(I23=2,$Q$9,IF(I23=3,$Q$11,IF(I23=4,$Q$13,0)))))*24</f>
        <v>12</v>
      </c>
      <c r="AP23" s="0" t="n">
        <f aca="false">IF(J23=8,$AJ$17,IF(J23=1,$Q$7,IF(J23=2,$Q$9,IF(J23=3,$Q$11,IF(J23=4,$Q$13,0)))))*24</f>
        <v>0</v>
      </c>
      <c r="AQ23" s="0" t="n">
        <f aca="false">IF(K23=8,$AJ$17,IF(K23=1,$Q$7,IF(K23=2,$Q$9,IF(K23=3,$Q$11,IF(K23=4,$Q$13,0)))))*24</f>
        <v>0</v>
      </c>
      <c r="AR23" s="0" t="n">
        <f aca="false">IF(L23=8,$AJ$17,IF(L23=1,$Q$7,IF(L23=2,$Q$9,IF(L23=3,$Q$11,IF(L23=4,$Q$13,0)))))*24</f>
        <v>0</v>
      </c>
      <c r="AS23" s="0" t="n">
        <f aca="false">IF(M23=8,$AJ$17,IF(M23=1,$Q$7,IF(M23=2,$Q$9,IF(M23=3,$Q$11,IF(M23=4,$Q$13,0)))))*24</f>
        <v>12</v>
      </c>
      <c r="AT23" s="0" t="n">
        <f aca="false">IF(N23=8,$AJ$17,IF(N23=1,$Q$7,IF(N23=2,$Q$9,IF(N23=3,$Q$11,IF(N23=4,$Q$13,0)))))*24</f>
        <v>12</v>
      </c>
      <c r="AU23" s="0" t="n">
        <f aca="false">IF(O23=8,$AJ$17,IF(O23=1,$Q$7,IF(O23=2,$Q$9,IF(O23=3,$Q$11,IF(O23=4,$Q$13,0)))))*24</f>
        <v>12</v>
      </c>
      <c r="AV23" s="0" t="n">
        <f aca="false">IF(P23=8,$AJ$17,IF(P23=1,$Q$7,IF(P23=2,$Q$9,IF(P23=3,$Q$11,IF(P23=4,$Q$13,0)))))*24</f>
        <v>0</v>
      </c>
      <c r="AW23" s="0" t="n">
        <f aca="false">IF(Q23=8,$AJ$17,IF(Q23=1,$Q$7,IF(Q23=2,$Q$9,IF(Q23=3,$Q$11,IF(Q23=4,$Q$13,0)))))*24</f>
        <v>0</v>
      </c>
      <c r="AX23" s="0" t="n">
        <f aca="false">IF(R23=8,$AJ$17,IF(R23=1,$Q$7,IF(R23=2,$Q$9,IF(R23=3,$Q$11,IF(R23=4,$Q$13,0)))))*24</f>
        <v>0</v>
      </c>
      <c r="AY23" s="0" t="n">
        <f aca="false">IF(S23=8,$AJ$17,IF(S23=1,$Q$7,IF(S23=2,$Q$9,IF(S23=3,$Q$11,IF(S23=4,$Q$13,0)))))*24</f>
        <v>12</v>
      </c>
      <c r="AZ23" s="0" t="n">
        <f aca="false">IF(T23=8,$AJ$17,IF(T23=1,$Q$7,IF(T23=2,$Q$9,IF(T23=3,$Q$11,IF(T23=4,$Q$13,0)))))*24</f>
        <v>12</v>
      </c>
      <c r="BA23" s="0" t="n">
        <f aca="false">IF(U23=8,$AJ$17,IF(U23=1,$Q$7,IF(U23=2,$Q$9,IF(U23=3,$Q$11,IF(U23=4,$Q$13,0)))))*24</f>
        <v>12</v>
      </c>
      <c r="BB23" s="0" t="n">
        <f aca="false">IF(V23=8,$AJ$17,IF(V23=1,$Q$7,IF(V23=2,$Q$9,IF(V23=3,$Q$11,IF(V23=4,$Q$13,0)))))*24</f>
        <v>0</v>
      </c>
      <c r="BC23" s="0" t="n">
        <f aca="false">IF(W23=8,$AJ$17,IF(W23=1,$Q$7,IF(W23=2,$Q$9,IF(W23=3,$Q$11,IF(W23=4,$Q$13,0)))))*24</f>
        <v>0</v>
      </c>
      <c r="BD23" s="0" t="n">
        <f aca="false">IF(X23=8,$AJ$17,IF(X23=1,$Q$7,IF(X23=2,$Q$9,IF(X23=3,$Q$11,IF(X23=4,$Q$13,0)))))*24</f>
        <v>0</v>
      </c>
      <c r="BE23" s="0" t="n">
        <f aca="false">IF(Y23=8,$AJ$17,IF(Y23=1,$Q$7,IF(Y23=2,$Q$9,IF(Y23=3,$Q$11,IF(Y23=4,$Q$13,0)))))*24</f>
        <v>12</v>
      </c>
      <c r="BF23" s="0" t="n">
        <f aca="false">IF(Z23=8,$AJ$17,IF(Z23=1,$Q$7,IF(Z23=2,$Q$9,IF(Z23=3,$Q$11,IF(Z23=4,$Q$13,0)))))*24</f>
        <v>12</v>
      </c>
      <c r="BG23" s="0" t="n">
        <f aca="false">IF(AA23=8,$AJ$17,IF(AA23=1,$Q$7,IF(AA23=2,$Q$9,IF(AA23=3,$Q$11,IF(AA23=4,$Q$13,0)))))*24</f>
        <v>12</v>
      </c>
      <c r="BH23" s="0" t="n">
        <f aca="false">IF(AB23=8,$AJ$17,IF(AB23=1,$Q$7,IF(AB23=2,$Q$9,IF(AB23=3,$Q$11,IF(AB23=4,$Q$13,0)))))*24</f>
        <v>0</v>
      </c>
      <c r="BI23" s="0" t="n">
        <f aca="false">IF(AC23=8,$AJ$17,IF(AC23=1,$Q$7,IF(AC23=2,$Q$9,IF(AC23=3,$Q$11,IF(AC23=4,$Q$13,0)))))*24</f>
        <v>0</v>
      </c>
      <c r="BJ23" s="0" t="n">
        <f aca="false">IF(AD23=8,$AJ$17,IF(AD23=1,$Q$7,IF(AD23=2,$Q$9,IF(AD23=3,$Q$11,IF(AD23=4,$Q$13,0)))))*24</f>
        <v>0</v>
      </c>
      <c r="BK23" s="0" t="n">
        <f aca="false">IF(AE23=8,$AJ$17,IF(AE23=1,$Q$7,IF(AE23=2,$Q$9,IF(AE23=3,$Q$11,IF(AE23=4,$Q$13,0)))))*24</f>
        <v>12</v>
      </c>
      <c r="BL23" s="0" t="n">
        <f aca="false">IF(AF23=8,$AJ$17,IF(AF23=1,$Q$7,IF(AF23=2,$Q$9,IF(AF23=3,$Q$11,IF(AF23=4,$Q$13,0)))))*24</f>
        <v>12</v>
      </c>
      <c r="BM23" s="0" t="n">
        <f aca="false">IF(AG23=8,$AJ$17,IF(AG23=1,$Q$7,IF(AG23=2,$Q$9,IF(AG23=3,$Q$11,IF(AG23=4,$Q$13,0)))))*24</f>
        <v>12</v>
      </c>
    </row>
    <row r="24" customFormat="false" ht="14.9" hidden="false" customHeight="false" outlineLevel="0" collapsed="false">
      <c r="B24" s="451" t="s">
        <v>350</v>
      </c>
      <c r="C24" s="517" t="n">
        <f aca="false">SUM(AJ24:BM24)</f>
        <v>180</v>
      </c>
      <c r="D24" s="518" t="n">
        <v>1</v>
      </c>
      <c r="E24" s="452" t="n">
        <v>1</v>
      </c>
      <c r="F24" s="452" t="n">
        <v>1</v>
      </c>
      <c r="G24" s="519" t="s">
        <v>347</v>
      </c>
      <c r="H24" s="519" t="s">
        <v>347</v>
      </c>
      <c r="I24" s="519" t="s">
        <v>347</v>
      </c>
      <c r="J24" s="452" t="n">
        <v>1</v>
      </c>
      <c r="K24" s="452" t="n">
        <v>1</v>
      </c>
      <c r="L24" s="452" t="n">
        <v>1</v>
      </c>
      <c r="M24" s="519" t="s">
        <v>347</v>
      </c>
      <c r="N24" s="519" t="s">
        <v>347</v>
      </c>
      <c r="O24" s="519" t="s">
        <v>347</v>
      </c>
      <c r="P24" s="452" t="n">
        <v>1</v>
      </c>
      <c r="Q24" s="452" t="n">
        <v>1</v>
      </c>
      <c r="R24" s="452" t="n">
        <v>1</v>
      </c>
      <c r="S24" s="519" t="s">
        <v>347</v>
      </c>
      <c r="T24" s="519" t="s">
        <v>347</v>
      </c>
      <c r="U24" s="519" t="s">
        <v>347</v>
      </c>
      <c r="V24" s="452" t="n">
        <v>1</v>
      </c>
      <c r="W24" s="452" t="n">
        <v>1</v>
      </c>
      <c r="X24" s="452" t="n">
        <v>1</v>
      </c>
      <c r="Y24" s="519" t="s">
        <v>347</v>
      </c>
      <c r="Z24" s="519" t="s">
        <v>347</v>
      </c>
      <c r="AA24" s="519" t="s">
        <v>347</v>
      </c>
      <c r="AB24" s="452" t="n">
        <v>1</v>
      </c>
      <c r="AC24" s="452" t="n">
        <v>1</v>
      </c>
      <c r="AD24" s="452" t="n">
        <v>1</v>
      </c>
      <c r="AE24" s="519" t="s">
        <v>347</v>
      </c>
      <c r="AF24" s="519" t="s">
        <v>347</v>
      </c>
      <c r="AG24" s="522" t="s">
        <v>347</v>
      </c>
      <c r="AJ24" s="0" t="n">
        <f aca="false">IF(D24=8,$AJ$17,IF(D24=1,$Q$7,IF(D24=2,$Q$9,IF(D24=3,$Q$11,IF(D24=4,$Q$13,0)))))*24</f>
        <v>12</v>
      </c>
      <c r="AK24" s="0" t="n">
        <f aca="false">IF(E24=8,$AJ$17,IF(E24=1,$Q$7,IF(E24=2,$Q$9,IF(E24=3,$Q$11,IF(E24=4,$Q$13,0)))))*24</f>
        <v>12</v>
      </c>
      <c r="AL24" s="0" t="n">
        <f aca="false">IF(F24=8,$AJ$17,IF(F24=1,$Q$7,IF(F24=2,$Q$9,IF(F24=3,$Q$11,IF(F24=4,$Q$13,0)))))*24</f>
        <v>12</v>
      </c>
      <c r="AM24" s="0" t="n">
        <f aca="false">IF(G24=8,$AJ$17,IF(G24=1,$Q$7,IF(G24=2,$Q$9,IF(G24=3,$Q$11,IF(G24=4,$Q$13,0)))))*24</f>
        <v>0</v>
      </c>
      <c r="AN24" s="0" t="n">
        <f aca="false">IF(H24=8,$AJ$17,IF(H24=1,$Q$7,IF(H24=2,$Q$9,IF(H24=3,$Q$11,IF(H24=4,$Q$13,0)))))*24</f>
        <v>0</v>
      </c>
      <c r="AO24" s="0" t="n">
        <f aca="false">IF(I24=8,$AJ$17,IF(I24=1,$Q$7,IF(I24=2,$Q$9,IF(I24=3,$Q$11,IF(I24=4,$Q$13,0)))))*24</f>
        <v>0</v>
      </c>
      <c r="AP24" s="0" t="n">
        <f aca="false">IF(J24=8,$AJ$17,IF(J24=1,$Q$7,IF(J24=2,$Q$9,IF(J24=3,$Q$11,IF(J24=4,$Q$13,0)))))*24</f>
        <v>12</v>
      </c>
      <c r="AQ24" s="0" t="n">
        <f aca="false">IF(K24=8,$AJ$17,IF(K24=1,$Q$7,IF(K24=2,$Q$9,IF(K24=3,$Q$11,IF(K24=4,$Q$13,0)))))*24</f>
        <v>12</v>
      </c>
      <c r="AR24" s="0" t="n">
        <f aca="false">IF(L24=8,$AJ$17,IF(L24=1,$Q$7,IF(L24=2,$Q$9,IF(L24=3,$Q$11,IF(L24=4,$Q$13,0)))))*24</f>
        <v>12</v>
      </c>
      <c r="AS24" s="0" t="n">
        <f aca="false">IF(M24=8,$AJ$17,IF(M24=1,$Q$7,IF(M24=2,$Q$9,IF(M24=3,$Q$11,IF(M24=4,$Q$13,0)))))*24</f>
        <v>0</v>
      </c>
      <c r="AT24" s="0" t="n">
        <f aca="false">IF(N24=8,$AJ$17,IF(N24=1,$Q$7,IF(N24=2,$Q$9,IF(N24=3,$Q$11,IF(N24=4,$Q$13,0)))))*24</f>
        <v>0</v>
      </c>
      <c r="AU24" s="0" t="n">
        <f aca="false">IF(O24=8,$AJ$17,IF(O24=1,$Q$7,IF(O24=2,$Q$9,IF(O24=3,$Q$11,IF(O24=4,$Q$13,0)))))*24</f>
        <v>0</v>
      </c>
      <c r="AV24" s="0" t="n">
        <f aca="false">IF(P24=8,$AJ$17,IF(P24=1,$Q$7,IF(P24=2,$Q$9,IF(P24=3,$Q$11,IF(P24=4,$Q$13,0)))))*24</f>
        <v>12</v>
      </c>
      <c r="AW24" s="0" t="n">
        <f aca="false">IF(Q24=8,$AJ$17,IF(Q24=1,$Q$7,IF(Q24=2,$Q$9,IF(Q24=3,$Q$11,IF(Q24=4,$Q$13,0)))))*24</f>
        <v>12</v>
      </c>
      <c r="AX24" s="0" t="n">
        <f aca="false">IF(R24=8,$AJ$17,IF(R24=1,$Q$7,IF(R24=2,$Q$9,IF(R24=3,$Q$11,IF(R24=4,$Q$13,0)))))*24</f>
        <v>12</v>
      </c>
      <c r="AY24" s="0" t="n">
        <f aca="false">IF(S24=8,$AJ$17,IF(S24=1,$Q$7,IF(S24=2,$Q$9,IF(S24=3,$Q$11,IF(S24=4,$Q$13,0)))))*24</f>
        <v>0</v>
      </c>
      <c r="AZ24" s="0" t="n">
        <f aca="false">IF(T24=8,$AJ$17,IF(T24=1,$Q$7,IF(T24=2,$Q$9,IF(T24=3,$Q$11,IF(T24=4,$Q$13,0)))))*24</f>
        <v>0</v>
      </c>
      <c r="BA24" s="0" t="n">
        <f aca="false">IF(U24=8,$AJ$17,IF(U24=1,$Q$7,IF(U24=2,$Q$9,IF(U24=3,$Q$11,IF(U24=4,$Q$13,0)))))*24</f>
        <v>0</v>
      </c>
      <c r="BB24" s="0" t="n">
        <f aca="false">IF(V24=8,$AJ$17,IF(V24=1,$Q$7,IF(V24=2,$Q$9,IF(V24=3,$Q$11,IF(V24=4,$Q$13,0)))))*24</f>
        <v>12</v>
      </c>
      <c r="BC24" s="0" t="n">
        <f aca="false">IF(W24=8,$AJ$17,IF(W24=1,$Q$7,IF(W24=2,$Q$9,IF(W24=3,$Q$11,IF(W24=4,$Q$13,0)))))*24</f>
        <v>12</v>
      </c>
      <c r="BD24" s="0" t="n">
        <f aca="false">IF(X24=8,$AJ$17,IF(X24=1,$Q$7,IF(X24=2,$Q$9,IF(X24=3,$Q$11,IF(X24=4,$Q$13,0)))))*24</f>
        <v>12</v>
      </c>
      <c r="BE24" s="0" t="n">
        <f aca="false">IF(Y24=8,$AJ$17,IF(Y24=1,$Q$7,IF(Y24=2,$Q$9,IF(Y24=3,$Q$11,IF(Y24=4,$Q$13,0)))))*24</f>
        <v>0</v>
      </c>
      <c r="BF24" s="0" t="n">
        <f aca="false">IF(Z24=8,$AJ$17,IF(Z24=1,$Q$7,IF(Z24=2,$Q$9,IF(Z24=3,$Q$11,IF(Z24=4,$Q$13,0)))))*24</f>
        <v>0</v>
      </c>
      <c r="BG24" s="0" t="n">
        <f aca="false">IF(AA24=8,$AJ$17,IF(AA24=1,$Q$7,IF(AA24=2,$Q$9,IF(AA24=3,$Q$11,IF(AA24=4,$Q$13,0)))))*24</f>
        <v>0</v>
      </c>
      <c r="BH24" s="0" t="n">
        <f aca="false">IF(AB24=8,$AJ$17,IF(AB24=1,$Q$7,IF(AB24=2,$Q$9,IF(AB24=3,$Q$11,IF(AB24=4,$Q$13,0)))))*24</f>
        <v>12</v>
      </c>
      <c r="BI24" s="0" t="n">
        <f aca="false">IF(AC24=8,$AJ$17,IF(AC24=1,$Q$7,IF(AC24=2,$Q$9,IF(AC24=3,$Q$11,IF(AC24=4,$Q$13,0)))))*24</f>
        <v>12</v>
      </c>
      <c r="BJ24" s="0" t="n">
        <f aca="false">IF(AD24=8,$AJ$17,IF(AD24=1,$Q$7,IF(AD24=2,$Q$9,IF(AD24=3,$Q$11,IF(AD24=4,$Q$13,0)))))*24</f>
        <v>12</v>
      </c>
      <c r="BK24" s="0" t="n">
        <f aca="false">IF(AE24=8,$AJ$17,IF(AE24=1,$Q$7,IF(AE24=2,$Q$9,IF(AE24=3,$Q$11,IF(AE24=4,$Q$13,0)))))*24</f>
        <v>0</v>
      </c>
      <c r="BL24" s="0" t="n">
        <f aca="false">IF(AF24=8,$AJ$17,IF(AF24=1,$Q$7,IF(AF24=2,$Q$9,IF(AF24=3,$Q$11,IF(AF24=4,$Q$13,0)))))*24</f>
        <v>0</v>
      </c>
      <c r="BM24" s="0" t="n">
        <f aca="false">IF(AG24=8,$AJ$17,IF(AG24=1,$Q$7,IF(AG24=2,$Q$9,IF(AG24=3,$Q$11,IF(AG24=4,$Q$13,0)))))*24</f>
        <v>0</v>
      </c>
    </row>
    <row r="25" customFormat="false" ht="14.9" hidden="false" customHeight="false" outlineLevel="0" collapsed="false">
      <c r="B25" s="451" t="s">
        <v>351</v>
      </c>
      <c r="C25" s="517" t="n">
        <f aca="false">SUM(AJ25:BM25)</f>
        <v>180</v>
      </c>
      <c r="D25" s="523" t="s">
        <v>347</v>
      </c>
      <c r="E25" s="519" t="s">
        <v>347</v>
      </c>
      <c r="F25" s="519" t="s">
        <v>347</v>
      </c>
      <c r="G25" s="452" t="n">
        <v>1</v>
      </c>
      <c r="H25" s="452" t="n">
        <v>1</v>
      </c>
      <c r="I25" s="452" t="n">
        <v>1</v>
      </c>
      <c r="J25" s="519" t="s">
        <v>347</v>
      </c>
      <c r="K25" s="519" t="s">
        <v>347</v>
      </c>
      <c r="L25" s="519" t="s">
        <v>347</v>
      </c>
      <c r="M25" s="452" t="n">
        <v>1</v>
      </c>
      <c r="N25" s="452" t="n">
        <v>1</v>
      </c>
      <c r="O25" s="452" t="n">
        <v>1</v>
      </c>
      <c r="P25" s="519" t="s">
        <v>347</v>
      </c>
      <c r="Q25" s="519" t="s">
        <v>347</v>
      </c>
      <c r="R25" s="519" t="s">
        <v>347</v>
      </c>
      <c r="S25" s="452" t="n">
        <v>1</v>
      </c>
      <c r="T25" s="452" t="n">
        <v>1</v>
      </c>
      <c r="U25" s="452" t="n">
        <v>1</v>
      </c>
      <c r="V25" s="519" t="s">
        <v>347</v>
      </c>
      <c r="W25" s="519" t="s">
        <v>347</v>
      </c>
      <c r="X25" s="519" t="s">
        <v>347</v>
      </c>
      <c r="Y25" s="452" t="n">
        <v>1</v>
      </c>
      <c r="Z25" s="452" t="n">
        <v>1</v>
      </c>
      <c r="AA25" s="452" t="n">
        <v>1</v>
      </c>
      <c r="AB25" s="519" t="s">
        <v>347</v>
      </c>
      <c r="AC25" s="519" t="s">
        <v>347</v>
      </c>
      <c r="AD25" s="519" t="s">
        <v>347</v>
      </c>
      <c r="AE25" s="452" t="n">
        <v>1</v>
      </c>
      <c r="AF25" s="452" t="n">
        <v>1</v>
      </c>
      <c r="AG25" s="520" t="n">
        <v>1</v>
      </c>
      <c r="AJ25" s="0" t="n">
        <f aca="false">IF(D25=8,$AJ$17,IF(D25=1,$Q$7,IF(D25=2,$Q$9,IF(D25=3,$Q$11,IF(D25=4,$Q$13,0)))))*24</f>
        <v>0</v>
      </c>
      <c r="AK25" s="0" t="n">
        <f aca="false">IF(E25=8,$AJ$17,IF(E25=1,$Q$7,IF(E25=2,$Q$9,IF(E25=3,$Q$11,IF(E25=4,$Q$13,0)))))*24</f>
        <v>0</v>
      </c>
      <c r="AL25" s="0" t="n">
        <f aca="false">IF(F25=8,$AJ$17,IF(F25=1,$Q$7,IF(F25=2,$Q$9,IF(F25=3,$Q$11,IF(F25=4,$Q$13,0)))))*24</f>
        <v>0</v>
      </c>
      <c r="AM25" s="0" t="n">
        <f aca="false">IF(G25=8,$AJ$17,IF(G25=1,$Q$7,IF(G25=2,$Q$9,IF(G25=3,$Q$11,IF(G25=4,$Q$13,0)))))*24</f>
        <v>12</v>
      </c>
      <c r="AN25" s="0" t="n">
        <f aca="false">IF(H25=8,$AJ$17,IF(H25=1,$Q$7,IF(H25=2,$Q$9,IF(H25=3,$Q$11,IF(H25=4,$Q$13,0)))))*24</f>
        <v>12</v>
      </c>
      <c r="AO25" s="0" t="n">
        <f aca="false">IF(I25=8,$AJ$17,IF(I25=1,$Q$7,IF(I25=2,$Q$9,IF(I25=3,$Q$11,IF(I25=4,$Q$13,0)))))*24</f>
        <v>12</v>
      </c>
      <c r="AP25" s="0" t="n">
        <f aca="false">IF(J25=8,$AJ$17,IF(J25=1,$Q$7,IF(J25=2,$Q$9,IF(J25=3,$Q$11,IF(J25=4,$Q$13,0)))))*24</f>
        <v>0</v>
      </c>
      <c r="AQ25" s="0" t="n">
        <f aca="false">IF(K25=8,$AJ$17,IF(K25=1,$Q$7,IF(K25=2,$Q$9,IF(K25=3,$Q$11,IF(K25=4,$Q$13,0)))))*24</f>
        <v>0</v>
      </c>
      <c r="AR25" s="0" t="n">
        <f aca="false">IF(L25=8,$AJ$17,IF(L25=1,$Q$7,IF(L25=2,$Q$9,IF(L25=3,$Q$11,IF(L25=4,$Q$13,0)))))*24</f>
        <v>0</v>
      </c>
      <c r="AS25" s="0" t="n">
        <f aca="false">IF(M25=8,$AJ$17,IF(M25=1,$Q$7,IF(M25=2,$Q$9,IF(M25=3,$Q$11,IF(M25=4,$Q$13,0)))))*24</f>
        <v>12</v>
      </c>
      <c r="AT25" s="0" t="n">
        <f aca="false">IF(N25=8,$AJ$17,IF(N25=1,$Q$7,IF(N25=2,$Q$9,IF(N25=3,$Q$11,IF(N25=4,$Q$13,0)))))*24</f>
        <v>12</v>
      </c>
      <c r="AU25" s="0" t="n">
        <f aca="false">IF(O25=8,$AJ$17,IF(O25=1,$Q$7,IF(O25=2,$Q$9,IF(O25=3,$Q$11,IF(O25=4,$Q$13,0)))))*24</f>
        <v>12</v>
      </c>
      <c r="AV25" s="0" t="n">
        <f aca="false">IF(P25=8,$AJ$17,IF(P25=1,$Q$7,IF(P25=2,$Q$9,IF(P25=3,$Q$11,IF(P25=4,$Q$13,0)))))*24</f>
        <v>0</v>
      </c>
      <c r="AW25" s="0" t="n">
        <f aca="false">IF(Q25=8,$AJ$17,IF(Q25=1,$Q$7,IF(Q25=2,$Q$9,IF(Q25=3,$Q$11,IF(Q25=4,$Q$13,0)))))*24</f>
        <v>0</v>
      </c>
      <c r="AX25" s="0" t="n">
        <f aca="false">IF(R25=8,$AJ$17,IF(R25=1,$Q$7,IF(R25=2,$Q$9,IF(R25=3,$Q$11,IF(R25=4,$Q$13,0)))))*24</f>
        <v>0</v>
      </c>
      <c r="AY25" s="0" t="n">
        <f aca="false">IF(S25=8,$AJ$17,IF(S25=1,$Q$7,IF(S25=2,$Q$9,IF(S25=3,$Q$11,IF(S25=4,$Q$13,0)))))*24</f>
        <v>12</v>
      </c>
      <c r="AZ25" s="0" t="n">
        <f aca="false">IF(T25=8,$AJ$17,IF(T25=1,$Q$7,IF(T25=2,$Q$9,IF(T25=3,$Q$11,IF(T25=4,$Q$13,0)))))*24</f>
        <v>12</v>
      </c>
      <c r="BA25" s="0" t="n">
        <f aca="false">IF(U25=8,$AJ$17,IF(U25=1,$Q$7,IF(U25=2,$Q$9,IF(U25=3,$Q$11,IF(U25=4,$Q$13,0)))))*24</f>
        <v>12</v>
      </c>
      <c r="BB25" s="0" t="n">
        <f aca="false">IF(V25=8,$AJ$17,IF(V25=1,$Q$7,IF(V25=2,$Q$9,IF(V25=3,$Q$11,IF(V25=4,$Q$13,0)))))*24</f>
        <v>0</v>
      </c>
      <c r="BC25" s="0" t="n">
        <f aca="false">IF(W25=8,$AJ$17,IF(W25=1,$Q$7,IF(W25=2,$Q$9,IF(W25=3,$Q$11,IF(W25=4,$Q$13,0)))))*24</f>
        <v>0</v>
      </c>
      <c r="BD25" s="0" t="n">
        <f aca="false">IF(X25=8,$AJ$17,IF(X25=1,$Q$7,IF(X25=2,$Q$9,IF(X25=3,$Q$11,IF(X25=4,$Q$13,0)))))*24</f>
        <v>0</v>
      </c>
      <c r="BE25" s="0" t="n">
        <f aca="false">IF(Y25=8,$AJ$17,IF(Y25=1,$Q$7,IF(Y25=2,$Q$9,IF(Y25=3,$Q$11,IF(Y25=4,$Q$13,0)))))*24</f>
        <v>12</v>
      </c>
      <c r="BF25" s="0" t="n">
        <f aca="false">IF(Z25=8,$AJ$17,IF(Z25=1,$Q$7,IF(Z25=2,$Q$9,IF(Z25=3,$Q$11,IF(Z25=4,$Q$13,0)))))*24</f>
        <v>12</v>
      </c>
      <c r="BG25" s="0" t="n">
        <f aca="false">IF(AA25=8,$AJ$17,IF(AA25=1,$Q$7,IF(AA25=2,$Q$9,IF(AA25=3,$Q$11,IF(AA25=4,$Q$13,0)))))*24</f>
        <v>12</v>
      </c>
      <c r="BH25" s="0" t="n">
        <f aca="false">IF(AB25=8,$AJ$17,IF(AB25=1,$Q$7,IF(AB25=2,$Q$9,IF(AB25=3,$Q$11,IF(AB25=4,$Q$13,0)))))*24</f>
        <v>0</v>
      </c>
      <c r="BI25" s="0" t="n">
        <f aca="false">IF(AC25=8,$AJ$17,IF(AC25=1,$Q$7,IF(AC25=2,$Q$9,IF(AC25=3,$Q$11,IF(AC25=4,$Q$13,0)))))*24</f>
        <v>0</v>
      </c>
      <c r="BJ25" s="0" t="n">
        <f aca="false">IF(AD25=8,$AJ$17,IF(AD25=1,$Q$7,IF(AD25=2,$Q$9,IF(AD25=3,$Q$11,IF(AD25=4,$Q$13,0)))))*24</f>
        <v>0</v>
      </c>
      <c r="BK25" s="0" t="n">
        <f aca="false">IF(AE25=8,$AJ$17,IF(AE25=1,$Q$7,IF(AE25=2,$Q$9,IF(AE25=3,$Q$11,IF(AE25=4,$Q$13,0)))))*24</f>
        <v>12</v>
      </c>
      <c r="BL25" s="0" t="n">
        <f aca="false">IF(AF25=8,$AJ$17,IF(AF25=1,$Q$7,IF(AF25=2,$Q$9,IF(AF25=3,$Q$11,IF(AF25=4,$Q$13,0)))))*24</f>
        <v>12</v>
      </c>
      <c r="BM25" s="0" t="n">
        <f aca="false">IF(AG25=8,$AJ$17,IF(AG25=1,$Q$7,IF(AG25=2,$Q$9,IF(AG25=3,$Q$11,IF(AG25=4,$Q$13,0)))))*24</f>
        <v>12</v>
      </c>
    </row>
    <row r="26" customFormat="false" ht="14.9" hidden="false" customHeight="false" outlineLevel="0" collapsed="false">
      <c r="B26" s="451" t="s">
        <v>352</v>
      </c>
      <c r="C26" s="517" t="n">
        <f aca="false">SUM(AJ26:BM26)</f>
        <v>180</v>
      </c>
      <c r="D26" s="518" t="n">
        <v>1</v>
      </c>
      <c r="E26" s="452" t="n">
        <v>1</v>
      </c>
      <c r="F26" s="452" t="n">
        <v>1</v>
      </c>
      <c r="G26" s="519" t="s">
        <v>347</v>
      </c>
      <c r="H26" s="519" t="s">
        <v>347</v>
      </c>
      <c r="I26" s="519" t="s">
        <v>347</v>
      </c>
      <c r="J26" s="452" t="n">
        <v>1</v>
      </c>
      <c r="K26" s="452" t="n">
        <v>1</v>
      </c>
      <c r="L26" s="452" t="n">
        <v>1</v>
      </c>
      <c r="M26" s="519" t="s">
        <v>347</v>
      </c>
      <c r="N26" s="519" t="s">
        <v>347</v>
      </c>
      <c r="O26" s="519" t="s">
        <v>347</v>
      </c>
      <c r="P26" s="452" t="n">
        <v>1</v>
      </c>
      <c r="Q26" s="452" t="n">
        <v>1</v>
      </c>
      <c r="R26" s="452" t="n">
        <v>1</v>
      </c>
      <c r="S26" s="519" t="s">
        <v>347</v>
      </c>
      <c r="T26" s="519" t="s">
        <v>347</v>
      </c>
      <c r="U26" s="519" t="s">
        <v>347</v>
      </c>
      <c r="V26" s="452" t="n">
        <v>1</v>
      </c>
      <c r="W26" s="452" t="n">
        <v>1</v>
      </c>
      <c r="X26" s="452" t="n">
        <v>1</v>
      </c>
      <c r="Y26" s="519" t="s">
        <v>347</v>
      </c>
      <c r="Z26" s="519" t="s">
        <v>347</v>
      </c>
      <c r="AA26" s="519" t="s">
        <v>347</v>
      </c>
      <c r="AB26" s="452" t="n">
        <v>1</v>
      </c>
      <c r="AC26" s="452" t="n">
        <v>1</v>
      </c>
      <c r="AD26" s="452" t="n">
        <v>1</v>
      </c>
      <c r="AE26" s="519" t="s">
        <v>347</v>
      </c>
      <c r="AF26" s="519" t="s">
        <v>347</v>
      </c>
      <c r="AG26" s="522" t="s">
        <v>347</v>
      </c>
      <c r="AJ26" s="0" t="n">
        <f aca="false">IF(D26=8,$AJ$17,IF(D26=1,$Q$7,IF(D26=2,$Q$9,IF(D26=3,$Q$11,IF(D26=4,$Q$13,0)))))*24</f>
        <v>12</v>
      </c>
      <c r="AK26" s="0" t="n">
        <f aca="false">IF(E26=8,$AJ$17,IF(E26=1,$Q$7,IF(E26=2,$Q$9,IF(E26=3,$Q$11,IF(E26=4,$Q$13,0)))))*24</f>
        <v>12</v>
      </c>
      <c r="AL26" s="0" t="n">
        <f aca="false">IF(F26=8,$AJ$17,IF(F26=1,$Q$7,IF(F26=2,$Q$9,IF(F26=3,$Q$11,IF(F26=4,$Q$13,0)))))*24</f>
        <v>12</v>
      </c>
      <c r="AM26" s="0" t="n">
        <f aca="false">IF(G26=8,$AJ$17,IF(G26=1,$Q$7,IF(G26=2,$Q$9,IF(G26=3,$Q$11,IF(G26=4,$Q$13,0)))))*24</f>
        <v>0</v>
      </c>
      <c r="AN26" s="0" t="n">
        <f aca="false">IF(H26=8,$AJ$17,IF(H26=1,$Q$7,IF(H26=2,$Q$9,IF(H26=3,$Q$11,IF(H26=4,$Q$13,0)))))*24</f>
        <v>0</v>
      </c>
      <c r="AO26" s="0" t="n">
        <f aca="false">IF(I26=8,$AJ$17,IF(I26=1,$Q$7,IF(I26=2,$Q$9,IF(I26=3,$Q$11,IF(I26=4,$Q$13,0)))))*24</f>
        <v>0</v>
      </c>
      <c r="AP26" s="0" t="n">
        <f aca="false">IF(J26=8,$AJ$17,IF(J26=1,$Q$7,IF(J26=2,$Q$9,IF(J26=3,$Q$11,IF(J26=4,$Q$13,0)))))*24</f>
        <v>12</v>
      </c>
      <c r="AQ26" s="0" t="n">
        <f aca="false">IF(K26=8,$AJ$17,IF(K26=1,$Q$7,IF(K26=2,$Q$9,IF(K26=3,$Q$11,IF(K26=4,$Q$13,0)))))*24</f>
        <v>12</v>
      </c>
      <c r="AR26" s="0" t="n">
        <f aca="false">IF(L26=8,$AJ$17,IF(L26=1,$Q$7,IF(L26=2,$Q$9,IF(L26=3,$Q$11,IF(L26=4,$Q$13,0)))))*24</f>
        <v>12</v>
      </c>
      <c r="AS26" s="0" t="n">
        <f aca="false">IF(M26=8,$AJ$17,IF(M26=1,$Q$7,IF(M26=2,$Q$9,IF(M26=3,$Q$11,IF(M26=4,$Q$13,0)))))*24</f>
        <v>0</v>
      </c>
      <c r="AT26" s="0" t="n">
        <f aca="false">IF(N26=8,$AJ$17,IF(N26=1,$Q$7,IF(N26=2,$Q$9,IF(N26=3,$Q$11,IF(N26=4,$Q$13,0)))))*24</f>
        <v>0</v>
      </c>
      <c r="AU26" s="0" t="n">
        <f aca="false">IF(O26=8,$AJ$17,IF(O26=1,$Q$7,IF(O26=2,$Q$9,IF(O26=3,$Q$11,IF(O26=4,$Q$13,0)))))*24</f>
        <v>0</v>
      </c>
      <c r="AV26" s="0" t="n">
        <f aca="false">IF(P26=8,$AJ$17,IF(P26=1,$Q$7,IF(P26=2,$Q$9,IF(P26=3,$Q$11,IF(P26=4,$Q$13,0)))))*24</f>
        <v>12</v>
      </c>
      <c r="AW26" s="0" t="n">
        <f aca="false">IF(Q26=8,$AJ$17,IF(Q26=1,$Q$7,IF(Q26=2,$Q$9,IF(Q26=3,$Q$11,IF(Q26=4,$Q$13,0)))))*24</f>
        <v>12</v>
      </c>
      <c r="AX26" s="0" t="n">
        <f aca="false">IF(R26=8,$AJ$17,IF(R26=1,$Q$7,IF(R26=2,$Q$9,IF(R26=3,$Q$11,IF(R26=4,$Q$13,0)))))*24</f>
        <v>12</v>
      </c>
      <c r="AY26" s="0" t="n">
        <f aca="false">IF(S26=8,$AJ$17,IF(S26=1,$Q$7,IF(S26=2,$Q$9,IF(S26=3,$Q$11,IF(S26=4,$Q$13,0)))))*24</f>
        <v>0</v>
      </c>
      <c r="AZ26" s="0" t="n">
        <f aca="false">IF(T26=8,$AJ$17,IF(T26=1,$Q$7,IF(T26=2,$Q$9,IF(T26=3,$Q$11,IF(T26=4,$Q$13,0)))))*24</f>
        <v>0</v>
      </c>
      <c r="BA26" s="0" t="n">
        <f aca="false">IF(U26=8,$AJ$17,IF(U26=1,$Q$7,IF(U26=2,$Q$9,IF(U26=3,$Q$11,IF(U26=4,$Q$13,0)))))*24</f>
        <v>0</v>
      </c>
      <c r="BB26" s="0" t="n">
        <f aca="false">IF(V26=8,$AJ$17,IF(V26=1,$Q$7,IF(V26=2,$Q$9,IF(V26=3,$Q$11,IF(V26=4,$Q$13,0)))))*24</f>
        <v>12</v>
      </c>
      <c r="BC26" s="0" t="n">
        <f aca="false">IF(W26=8,$AJ$17,IF(W26=1,$Q$7,IF(W26=2,$Q$9,IF(W26=3,$Q$11,IF(W26=4,$Q$13,0)))))*24</f>
        <v>12</v>
      </c>
      <c r="BD26" s="0" t="n">
        <f aca="false">IF(X26=8,$AJ$17,IF(X26=1,$Q$7,IF(X26=2,$Q$9,IF(X26=3,$Q$11,IF(X26=4,$Q$13,0)))))*24</f>
        <v>12</v>
      </c>
      <c r="BE26" s="0" t="n">
        <f aca="false">IF(Y26=8,$AJ$17,IF(Y26=1,$Q$7,IF(Y26=2,$Q$9,IF(Y26=3,$Q$11,IF(Y26=4,$Q$13,0)))))*24</f>
        <v>0</v>
      </c>
      <c r="BF26" s="0" t="n">
        <f aca="false">IF(Z26=8,$AJ$17,IF(Z26=1,$Q$7,IF(Z26=2,$Q$9,IF(Z26=3,$Q$11,IF(Z26=4,$Q$13,0)))))*24</f>
        <v>0</v>
      </c>
      <c r="BG26" s="0" t="n">
        <f aca="false">IF(AA26=8,$AJ$17,IF(AA26=1,$Q$7,IF(AA26=2,$Q$9,IF(AA26=3,$Q$11,IF(AA26=4,$Q$13,0)))))*24</f>
        <v>0</v>
      </c>
      <c r="BH26" s="0" t="n">
        <f aca="false">IF(AB26=8,$AJ$17,IF(AB26=1,$Q$7,IF(AB26=2,$Q$9,IF(AB26=3,$Q$11,IF(AB26=4,$Q$13,0)))))*24</f>
        <v>12</v>
      </c>
      <c r="BI26" s="0" t="n">
        <f aca="false">IF(AC26=8,$AJ$17,IF(AC26=1,$Q$7,IF(AC26=2,$Q$9,IF(AC26=3,$Q$11,IF(AC26=4,$Q$13,0)))))*24</f>
        <v>12</v>
      </c>
      <c r="BJ26" s="0" t="n">
        <f aca="false">IF(AD26=8,$AJ$17,IF(AD26=1,$Q$7,IF(AD26=2,$Q$9,IF(AD26=3,$Q$11,IF(AD26=4,$Q$13,0)))))*24</f>
        <v>12</v>
      </c>
      <c r="BK26" s="0" t="n">
        <f aca="false">IF(AE26=8,$AJ$17,IF(AE26=1,$Q$7,IF(AE26=2,$Q$9,IF(AE26=3,$Q$11,IF(AE26=4,$Q$13,0)))))*24</f>
        <v>0</v>
      </c>
      <c r="BL26" s="0" t="n">
        <f aca="false">IF(AF26=8,$AJ$17,IF(AF26=1,$Q$7,IF(AF26=2,$Q$9,IF(AF26=3,$Q$11,IF(AF26=4,$Q$13,0)))))*24</f>
        <v>0</v>
      </c>
      <c r="BM26" s="0" t="n">
        <f aca="false">IF(AG26=8,$AJ$17,IF(AG26=1,$Q$7,IF(AG26=2,$Q$9,IF(AG26=3,$Q$11,IF(AG26=4,$Q$13,0)))))*24</f>
        <v>0</v>
      </c>
    </row>
    <row r="27" customFormat="false" ht="14.9" hidden="false" customHeight="false" outlineLevel="0" collapsed="false">
      <c r="B27" s="451" t="s">
        <v>353</v>
      </c>
      <c r="C27" s="517" t="n">
        <f aca="false">SUM(AJ27:BM27)</f>
        <v>180</v>
      </c>
      <c r="D27" s="523" t="s">
        <v>347</v>
      </c>
      <c r="E27" s="519" t="s">
        <v>347</v>
      </c>
      <c r="F27" s="519" t="s">
        <v>347</v>
      </c>
      <c r="G27" s="452" t="n">
        <v>1</v>
      </c>
      <c r="H27" s="452" t="n">
        <v>1</v>
      </c>
      <c r="I27" s="452" t="n">
        <v>1</v>
      </c>
      <c r="J27" s="519" t="s">
        <v>347</v>
      </c>
      <c r="K27" s="519" t="s">
        <v>347</v>
      </c>
      <c r="L27" s="519" t="s">
        <v>347</v>
      </c>
      <c r="M27" s="452" t="n">
        <v>1</v>
      </c>
      <c r="N27" s="452" t="n">
        <v>1</v>
      </c>
      <c r="O27" s="452" t="n">
        <v>1</v>
      </c>
      <c r="P27" s="519" t="s">
        <v>347</v>
      </c>
      <c r="Q27" s="519" t="s">
        <v>347</v>
      </c>
      <c r="R27" s="519" t="s">
        <v>347</v>
      </c>
      <c r="S27" s="452" t="n">
        <v>1</v>
      </c>
      <c r="T27" s="452" t="n">
        <v>1</v>
      </c>
      <c r="U27" s="452" t="n">
        <v>1</v>
      </c>
      <c r="V27" s="519" t="s">
        <v>347</v>
      </c>
      <c r="W27" s="519" t="s">
        <v>347</v>
      </c>
      <c r="X27" s="519" t="s">
        <v>347</v>
      </c>
      <c r="Y27" s="452" t="n">
        <v>1</v>
      </c>
      <c r="Z27" s="452" t="n">
        <v>1</v>
      </c>
      <c r="AA27" s="452" t="n">
        <v>1</v>
      </c>
      <c r="AB27" s="519" t="s">
        <v>347</v>
      </c>
      <c r="AC27" s="519" t="s">
        <v>347</v>
      </c>
      <c r="AD27" s="519" t="s">
        <v>347</v>
      </c>
      <c r="AE27" s="452" t="n">
        <v>1</v>
      </c>
      <c r="AF27" s="452" t="n">
        <v>1</v>
      </c>
      <c r="AG27" s="520" t="n">
        <v>1</v>
      </c>
      <c r="AJ27" s="0" t="n">
        <f aca="false">IF(D27=8,$AJ$17,IF(D27=1,$Q$7,IF(D27=2,$Q$9,IF(D27=3,$Q$11,IF(D27=4,$Q$13,0)))))*24</f>
        <v>0</v>
      </c>
      <c r="AK27" s="0" t="n">
        <f aca="false">IF(E27=8,$AJ$17,IF(E27=1,$Q$7,IF(E27=2,$Q$9,IF(E27=3,$Q$11,IF(E27=4,$Q$13,0)))))*24</f>
        <v>0</v>
      </c>
      <c r="AL27" s="0" t="n">
        <f aca="false">IF(F27=8,$AJ$17,IF(F27=1,$Q$7,IF(F27=2,$Q$9,IF(F27=3,$Q$11,IF(F27=4,$Q$13,0)))))*24</f>
        <v>0</v>
      </c>
      <c r="AM27" s="0" t="n">
        <f aca="false">IF(G27=8,$AJ$17,IF(G27=1,$Q$7,IF(G27=2,$Q$9,IF(G27=3,$Q$11,IF(G27=4,$Q$13,0)))))*24</f>
        <v>12</v>
      </c>
      <c r="AN27" s="0" t="n">
        <f aca="false">IF(H27=8,$AJ$17,IF(H27=1,$Q$7,IF(H27=2,$Q$9,IF(H27=3,$Q$11,IF(H27=4,$Q$13,0)))))*24</f>
        <v>12</v>
      </c>
      <c r="AO27" s="0" t="n">
        <f aca="false">IF(I27=8,$AJ$17,IF(I27=1,$Q$7,IF(I27=2,$Q$9,IF(I27=3,$Q$11,IF(I27=4,$Q$13,0)))))*24</f>
        <v>12</v>
      </c>
      <c r="AP27" s="0" t="n">
        <f aca="false">IF(J27=8,$AJ$17,IF(J27=1,$Q$7,IF(J27=2,$Q$9,IF(J27=3,$Q$11,IF(J27=4,$Q$13,0)))))*24</f>
        <v>0</v>
      </c>
      <c r="AQ27" s="0" t="n">
        <f aca="false">IF(K27=8,$AJ$17,IF(K27=1,$Q$7,IF(K27=2,$Q$9,IF(K27=3,$Q$11,IF(K27=4,$Q$13,0)))))*24</f>
        <v>0</v>
      </c>
      <c r="AR27" s="0" t="n">
        <f aca="false">IF(L27=8,$AJ$17,IF(L27=1,$Q$7,IF(L27=2,$Q$9,IF(L27=3,$Q$11,IF(L27=4,$Q$13,0)))))*24</f>
        <v>0</v>
      </c>
      <c r="AS27" s="0" t="n">
        <f aca="false">IF(M27=8,$AJ$17,IF(M27=1,$Q$7,IF(M27=2,$Q$9,IF(M27=3,$Q$11,IF(M27=4,$Q$13,0)))))*24</f>
        <v>12</v>
      </c>
      <c r="AT27" s="0" t="n">
        <f aca="false">IF(N27=8,$AJ$17,IF(N27=1,$Q$7,IF(N27=2,$Q$9,IF(N27=3,$Q$11,IF(N27=4,$Q$13,0)))))*24</f>
        <v>12</v>
      </c>
      <c r="AU27" s="0" t="n">
        <f aca="false">IF(O27=8,$AJ$17,IF(O27=1,$Q$7,IF(O27=2,$Q$9,IF(O27=3,$Q$11,IF(O27=4,$Q$13,0)))))*24</f>
        <v>12</v>
      </c>
      <c r="AV27" s="0" t="n">
        <f aca="false">IF(P27=8,$AJ$17,IF(P27=1,$Q$7,IF(P27=2,$Q$9,IF(P27=3,$Q$11,IF(P27=4,$Q$13,0)))))*24</f>
        <v>0</v>
      </c>
      <c r="AW27" s="0" t="n">
        <f aca="false">IF(Q27=8,$AJ$17,IF(Q27=1,$Q$7,IF(Q27=2,$Q$9,IF(Q27=3,$Q$11,IF(Q27=4,$Q$13,0)))))*24</f>
        <v>0</v>
      </c>
      <c r="AX27" s="0" t="n">
        <f aca="false">IF(R27=8,$AJ$17,IF(R27=1,$Q$7,IF(R27=2,$Q$9,IF(R27=3,$Q$11,IF(R27=4,$Q$13,0)))))*24</f>
        <v>0</v>
      </c>
      <c r="AY27" s="0" t="n">
        <f aca="false">IF(S27=8,$AJ$17,IF(S27=1,$Q$7,IF(S27=2,$Q$9,IF(S27=3,$Q$11,IF(S27=4,$Q$13,0)))))*24</f>
        <v>12</v>
      </c>
      <c r="AZ27" s="0" t="n">
        <f aca="false">IF(T27=8,$AJ$17,IF(T27=1,$Q$7,IF(T27=2,$Q$9,IF(T27=3,$Q$11,IF(T27=4,$Q$13,0)))))*24</f>
        <v>12</v>
      </c>
      <c r="BA27" s="0" t="n">
        <f aca="false">IF(U27=8,$AJ$17,IF(U27=1,$Q$7,IF(U27=2,$Q$9,IF(U27=3,$Q$11,IF(U27=4,$Q$13,0)))))*24</f>
        <v>12</v>
      </c>
      <c r="BB27" s="0" t="n">
        <f aca="false">IF(V27=8,$AJ$17,IF(V27=1,$Q$7,IF(V27=2,$Q$9,IF(V27=3,$Q$11,IF(V27=4,$Q$13,0)))))*24</f>
        <v>0</v>
      </c>
      <c r="BC27" s="0" t="n">
        <f aca="false">IF(W27=8,$AJ$17,IF(W27=1,$Q$7,IF(W27=2,$Q$9,IF(W27=3,$Q$11,IF(W27=4,$Q$13,0)))))*24</f>
        <v>0</v>
      </c>
      <c r="BD27" s="0" t="n">
        <f aca="false">IF(X27=8,$AJ$17,IF(X27=1,$Q$7,IF(X27=2,$Q$9,IF(X27=3,$Q$11,IF(X27=4,$Q$13,0)))))*24</f>
        <v>0</v>
      </c>
      <c r="BE27" s="0" t="n">
        <f aca="false">IF(Y27=8,$AJ$17,IF(Y27=1,$Q$7,IF(Y27=2,$Q$9,IF(Y27=3,$Q$11,IF(Y27=4,$Q$13,0)))))*24</f>
        <v>12</v>
      </c>
      <c r="BF27" s="0" t="n">
        <f aca="false">IF(Z27=8,$AJ$17,IF(Z27=1,$Q$7,IF(Z27=2,$Q$9,IF(Z27=3,$Q$11,IF(Z27=4,$Q$13,0)))))*24</f>
        <v>12</v>
      </c>
      <c r="BG27" s="0" t="n">
        <f aca="false">IF(AA27=8,$AJ$17,IF(AA27=1,$Q$7,IF(AA27=2,$Q$9,IF(AA27=3,$Q$11,IF(AA27=4,$Q$13,0)))))*24</f>
        <v>12</v>
      </c>
      <c r="BH27" s="0" t="n">
        <f aca="false">IF(AB27=8,$AJ$17,IF(AB27=1,$Q$7,IF(AB27=2,$Q$9,IF(AB27=3,$Q$11,IF(AB27=4,$Q$13,0)))))*24</f>
        <v>0</v>
      </c>
      <c r="BI27" s="0" t="n">
        <f aca="false">IF(AC27=8,$AJ$17,IF(AC27=1,$Q$7,IF(AC27=2,$Q$9,IF(AC27=3,$Q$11,IF(AC27=4,$Q$13,0)))))*24</f>
        <v>0</v>
      </c>
      <c r="BJ27" s="0" t="n">
        <f aca="false">IF(AD27=8,$AJ$17,IF(AD27=1,$Q$7,IF(AD27=2,$Q$9,IF(AD27=3,$Q$11,IF(AD27=4,$Q$13,0)))))*24</f>
        <v>0</v>
      </c>
      <c r="BK27" s="0" t="n">
        <f aca="false">IF(AE27=8,$AJ$17,IF(AE27=1,$Q$7,IF(AE27=2,$Q$9,IF(AE27=3,$Q$11,IF(AE27=4,$Q$13,0)))))*24</f>
        <v>12</v>
      </c>
      <c r="BL27" s="0" t="n">
        <f aca="false">IF(AF27=8,$AJ$17,IF(AF27=1,$Q$7,IF(AF27=2,$Q$9,IF(AF27=3,$Q$11,IF(AF27=4,$Q$13,0)))))*24</f>
        <v>12</v>
      </c>
      <c r="BM27" s="0" t="n">
        <f aca="false">IF(AG27=8,$AJ$17,IF(AG27=1,$Q$7,IF(AG27=2,$Q$9,IF(AG27=3,$Q$11,IF(AG27=4,$Q$13,0)))))*24</f>
        <v>12</v>
      </c>
    </row>
    <row r="28" customFormat="false" ht="13.8" hidden="false" customHeight="false" outlineLevel="0" collapsed="false">
      <c r="B28" s="461"/>
      <c r="C28" s="517" t="n">
        <f aca="false">SUM(AJ28:BM28)</f>
        <v>0</v>
      </c>
      <c r="D28" s="518"/>
      <c r="E28" s="452"/>
      <c r="F28" s="452"/>
      <c r="G28" s="452"/>
      <c r="H28" s="452"/>
      <c r="I28" s="452"/>
      <c r="J28" s="452"/>
      <c r="K28" s="452"/>
      <c r="L28" s="452"/>
      <c r="M28" s="452"/>
      <c r="N28" s="452"/>
      <c r="O28" s="452"/>
      <c r="P28" s="452"/>
      <c r="Q28" s="452"/>
      <c r="R28" s="452"/>
      <c r="S28" s="452"/>
      <c r="T28" s="452"/>
      <c r="U28" s="452"/>
      <c r="V28" s="452"/>
      <c r="W28" s="452"/>
      <c r="X28" s="452"/>
      <c r="Y28" s="452"/>
      <c r="Z28" s="452"/>
      <c r="AA28" s="452"/>
      <c r="AB28" s="452"/>
      <c r="AC28" s="452"/>
      <c r="AD28" s="452"/>
      <c r="AE28" s="452"/>
      <c r="AF28" s="452"/>
      <c r="AG28" s="520"/>
      <c r="AJ28" s="0" t="n">
        <f aca="false">IF(D28=8,$AJ$17,IF(D28=1,$Q$7,IF(D28=2,$Q$9,IF(D28=3,$Q$11,IF(D28=4,$Q$13,0)))))*24</f>
        <v>0</v>
      </c>
      <c r="AK28" s="0" t="n">
        <f aca="false">IF(E28=8,$AJ$17,IF(E28=1,$Q$7,IF(E28=2,$Q$9,IF(E28=3,$Q$11,IF(E28=4,$Q$13,0)))))*24</f>
        <v>0</v>
      </c>
      <c r="AL28" s="0" t="n">
        <f aca="false">IF(F28=8,$AJ$17,IF(F28=1,$Q$7,IF(F28=2,$Q$9,IF(F28=3,$Q$11,IF(F28=4,$Q$13,0)))))*24</f>
        <v>0</v>
      </c>
      <c r="AM28" s="0" t="n">
        <f aca="false">IF(G28=8,$AJ$17,IF(G28=1,$Q$7,IF(G28=2,$Q$9,IF(G28=3,$Q$11,IF(G28=4,$Q$13,0)))))*24</f>
        <v>0</v>
      </c>
      <c r="AN28" s="0" t="n">
        <f aca="false">IF(H28=8,$AJ$17,IF(H28=1,$Q$7,IF(H28=2,$Q$9,IF(H28=3,$Q$11,IF(H28=4,$Q$13,0)))))*24</f>
        <v>0</v>
      </c>
      <c r="AO28" s="0" t="n">
        <f aca="false">IF(I28=8,$AJ$17,IF(I28=1,$Q$7,IF(I28=2,$Q$9,IF(I28=3,$Q$11,IF(I28=4,$Q$13,0)))))*24</f>
        <v>0</v>
      </c>
      <c r="AP28" s="0" t="n">
        <f aca="false">IF(J28=8,$AJ$17,IF(J28=1,$Q$7,IF(J28=2,$Q$9,IF(J28=3,$Q$11,IF(J28=4,$Q$13,0)))))*24</f>
        <v>0</v>
      </c>
      <c r="AQ28" s="0" t="n">
        <f aca="false">IF(K28=8,$AJ$17,IF(K28=1,$Q$7,IF(K28=2,$Q$9,IF(K28=3,$Q$11,IF(K28=4,$Q$13,0)))))*24</f>
        <v>0</v>
      </c>
      <c r="AR28" s="0" t="n">
        <f aca="false">IF(L28=8,$AJ$17,IF(L28=1,$Q$7,IF(L28=2,$Q$9,IF(L28=3,$Q$11,IF(L28=4,$Q$13,0)))))*24</f>
        <v>0</v>
      </c>
      <c r="AS28" s="0" t="n">
        <f aca="false">IF(M28=8,$AJ$17,IF(M28=1,$Q$7,IF(M28=2,$Q$9,IF(M28=3,$Q$11,IF(M28=4,$Q$13,0)))))*24</f>
        <v>0</v>
      </c>
      <c r="AT28" s="0" t="n">
        <f aca="false">IF(N28=8,$AJ$17,IF(N28=1,$Q$7,IF(N28=2,$Q$9,IF(N28=3,$Q$11,IF(N28=4,$Q$13,0)))))*24</f>
        <v>0</v>
      </c>
      <c r="AU28" s="0" t="n">
        <f aca="false">IF(O28=8,$AJ$17,IF(O28=1,$Q$7,IF(O28=2,$Q$9,IF(O28=3,$Q$11,IF(O28=4,$Q$13,0)))))*24</f>
        <v>0</v>
      </c>
      <c r="AV28" s="0" t="n">
        <f aca="false">IF(P28=8,$AJ$17,IF(P28=1,$Q$7,IF(P28=2,$Q$9,IF(P28=3,$Q$11,IF(P28=4,$Q$13,0)))))*24</f>
        <v>0</v>
      </c>
      <c r="AW28" s="0" t="n">
        <f aca="false">IF(Q28=8,$AJ$17,IF(Q28=1,$Q$7,IF(Q28=2,$Q$9,IF(Q28=3,$Q$11,IF(Q28=4,$Q$13,0)))))*24</f>
        <v>0</v>
      </c>
      <c r="AX28" s="0" t="n">
        <f aca="false">IF(R28=8,$AJ$17,IF(R28=1,$Q$7,IF(R28=2,$Q$9,IF(R28=3,$Q$11,IF(R28=4,$Q$13,0)))))*24</f>
        <v>0</v>
      </c>
      <c r="AY28" s="0" t="n">
        <f aca="false">IF(S28=8,$AJ$17,IF(S28=1,$Q$7,IF(S28=2,$Q$9,IF(S28=3,$Q$11,IF(S28=4,$Q$13,0)))))*24</f>
        <v>0</v>
      </c>
      <c r="AZ28" s="0" t="n">
        <f aca="false">IF(T28=8,$AJ$17,IF(T28=1,$Q$7,IF(T28=2,$Q$9,IF(T28=3,$Q$11,IF(T28=4,$Q$13,0)))))*24</f>
        <v>0</v>
      </c>
      <c r="BA28" s="0" t="n">
        <f aca="false">IF(U28=8,$AJ$17,IF(U28=1,$Q$7,IF(U28=2,$Q$9,IF(U28=3,$Q$11,IF(U28=4,$Q$13,0)))))*24</f>
        <v>0</v>
      </c>
      <c r="BB28" s="0" t="n">
        <f aca="false">IF(V28=8,$AJ$17,IF(V28=1,$Q$7,IF(V28=2,$Q$9,IF(V28=3,$Q$11,IF(V28=4,$Q$13,0)))))*24</f>
        <v>0</v>
      </c>
      <c r="BC28" s="0" t="n">
        <f aca="false">IF(W28=8,$AJ$17,IF(W28=1,$Q$7,IF(W28=2,$Q$9,IF(W28=3,$Q$11,IF(W28=4,$Q$13,0)))))*24</f>
        <v>0</v>
      </c>
      <c r="BD28" s="0" t="n">
        <f aca="false">IF(X28=8,$AJ$17,IF(X28=1,$Q$7,IF(X28=2,$Q$9,IF(X28=3,$Q$11,IF(X28=4,$Q$13,0)))))*24</f>
        <v>0</v>
      </c>
      <c r="BE28" s="0" t="n">
        <f aca="false">IF(Y28=8,$AJ$17,IF(Y28=1,$Q$7,IF(Y28=2,$Q$9,IF(Y28=3,$Q$11,IF(Y28=4,$Q$13,0)))))*24</f>
        <v>0</v>
      </c>
      <c r="BF28" s="0" t="n">
        <f aca="false">IF(Z28=8,$AJ$17,IF(Z28=1,$Q$7,IF(Z28=2,$Q$9,IF(Z28=3,$Q$11,IF(Z28=4,$Q$13,0)))))*24</f>
        <v>0</v>
      </c>
      <c r="BG28" s="0" t="n">
        <f aca="false">IF(AA28=8,$AJ$17,IF(AA28=1,$Q$7,IF(AA28=2,$Q$9,IF(AA28=3,$Q$11,IF(AA28=4,$Q$13,0)))))*24</f>
        <v>0</v>
      </c>
      <c r="BH28" s="0" t="n">
        <f aca="false">IF(AB28=8,$AJ$17,IF(AB28=1,$Q$7,IF(AB28=2,$Q$9,IF(AB28=3,$Q$11,IF(AB28=4,$Q$13,0)))))*24</f>
        <v>0</v>
      </c>
      <c r="BI28" s="0" t="n">
        <f aca="false">IF(AC28=8,$AJ$17,IF(AC28=1,$Q$7,IF(AC28=2,$Q$9,IF(AC28=3,$Q$11,IF(AC28=4,$Q$13,0)))))*24</f>
        <v>0</v>
      </c>
      <c r="BJ28" s="0" t="n">
        <f aca="false">IF(AD28=8,$AJ$17,IF(AD28=1,$Q$7,IF(AD28=2,$Q$9,IF(AD28=3,$Q$11,IF(AD28=4,$Q$13,0)))))*24</f>
        <v>0</v>
      </c>
      <c r="BK28" s="0" t="n">
        <f aca="false">IF(AE28=8,$AJ$17,IF(AE28=1,$Q$7,IF(AE28=2,$Q$9,IF(AE28=3,$Q$11,IF(AE28=4,$Q$13,0)))))*24</f>
        <v>0</v>
      </c>
      <c r="BL28" s="0" t="n">
        <f aca="false">IF(AF28=8,$AJ$17,IF(AF28=1,$Q$7,IF(AF28=2,$Q$9,IF(AF28=3,$Q$11,IF(AF28=4,$Q$13,0)))))*24</f>
        <v>0</v>
      </c>
      <c r="BM28" s="0" t="n">
        <f aca="false">IF(AG28=8,$AJ$17,IF(AG28=1,$Q$7,IF(AG28=2,$Q$9,IF(AG28=3,$Q$11,IF(AG28=4,$Q$13,0)))))*24</f>
        <v>0</v>
      </c>
    </row>
    <row r="29" customFormat="false" ht="13.8" hidden="false" customHeight="false" outlineLevel="0" collapsed="false">
      <c r="B29" s="461"/>
      <c r="C29" s="517" t="n">
        <f aca="false">SUM(AJ29:BM29)</f>
        <v>0</v>
      </c>
      <c r="D29" s="518"/>
      <c r="E29" s="452"/>
      <c r="F29" s="452"/>
      <c r="G29" s="452"/>
      <c r="H29" s="452"/>
      <c r="I29" s="452"/>
      <c r="J29" s="452"/>
      <c r="K29" s="452"/>
      <c r="L29" s="452"/>
      <c r="M29" s="452"/>
      <c r="N29" s="452"/>
      <c r="O29" s="452"/>
      <c r="P29" s="452"/>
      <c r="Q29" s="452"/>
      <c r="R29" s="452"/>
      <c r="S29" s="452"/>
      <c r="T29" s="452"/>
      <c r="U29" s="452"/>
      <c r="V29" s="452"/>
      <c r="W29" s="452"/>
      <c r="X29" s="452"/>
      <c r="Y29" s="452"/>
      <c r="Z29" s="452"/>
      <c r="AA29" s="452"/>
      <c r="AB29" s="452"/>
      <c r="AC29" s="452"/>
      <c r="AD29" s="452"/>
      <c r="AE29" s="452"/>
      <c r="AF29" s="452"/>
      <c r="AG29" s="520"/>
      <c r="AJ29" s="0" t="n">
        <f aca="false">IF(D29=8,$AJ$17,IF(D29=1,$Q$7,IF(D29=2,$Q$9,IF(D29=3,$Q$11,IF(D29=4,$Q$13,0)))))*24</f>
        <v>0</v>
      </c>
      <c r="AK29" s="0" t="n">
        <f aca="false">IF(E29=8,$AJ$17,IF(E29=1,$Q$7,IF(E29=2,$Q$9,IF(E29=3,$Q$11,IF(E29=4,$Q$13,0)))))*24</f>
        <v>0</v>
      </c>
      <c r="AL29" s="0" t="n">
        <f aca="false">IF(F29=8,$AJ$17,IF(F29=1,$Q$7,IF(F29=2,$Q$9,IF(F29=3,$Q$11,IF(F29=4,$Q$13,0)))))*24</f>
        <v>0</v>
      </c>
      <c r="AM29" s="0" t="n">
        <f aca="false">IF(G29=8,$AJ$17,IF(G29=1,$Q$7,IF(G29=2,$Q$9,IF(G29=3,$Q$11,IF(G29=4,$Q$13,0)))))*24</f>
        <v>0</v>
      </c>
      <c r="AN29" s="0" t="n">
        <f aca="false">IF(H29=8,$AJ$17,IF(H29=1,$Q$7,IF(H29=2,$Q$9,IF(H29=3,$Q$11,IF(H29=4,$Q$13,0)))))*24</f>
        <v>0</v>
      </c>
      <c r="AO29" s="0" t="n">
        <f aca="false">IF(I29=8,$AJ$17,IF(I29=1,$Q$7,IF(I29=2,$Q$9,IF(I29=3,$Q$11,IF(I29=4,$Q$13,0)))))*24</f>
        <v>0</v>
      </c>
      <c r="AP29" s="0" t="n">
        <f aca="false">IF(J29=8,$AJ$17,IF(J29=1,$Q$7,IF(J29=2,$Q$9,IF(J29=3,$Q$11,IF(J29=4,$Q$13,0)))))*24</f>
        <v>0</v>
      </c>
      <c r="AQ29" s="0" t="n">
        <f aca="false">IF(K29=8,$AJ$17,IF(K29=1,$Q$7,IF(K29=2,$Q$9,IF(K29=3,$Q$11,IF(K29=4,$Q$13,0)))))*24</f>
        <v>0</v>
      </c>
      <c r="AR29" s="0" t="n">
        <f aca="false">IF(L29=8,$AJ$17,IF(L29=1,$Q$7,IF(L29=2,$Q$9,IF(L29=3,$Q$11,IF(L29=4,$Q$13,0)))))*24</f>
        <v>0</v>
      </c>
      <c r="AS29" s="0" t="n">
        <f aca="false">IF(M29=8,$AJ$17,IF(M29=1,$Q$7,IF(M29=2,$Q$9,IF(M29=3,$Q$11,IF(M29=4,$Q$13,0)))))*24</f>
        <v>0</v>
      </c>
      <c r="AT29" s="0" t="n">
        <f aca="false">IF(N29=8,$AJ$17,IF(N29=1,$Q$7,IF(N29=2,$Q$9,IF(N29=3,$Q$11,IF(N29=4,$Q$13,0)))))*24</f>
        <v>0</v>
      </c>
      <c r="AU29" s="0" t="n">
        <f aca="false">IF(O29=8,$AJ$17,IF(O29=1,$Q$7,IF(O29=2,$Q$9,IF(O29=3,$Q$11,IF(O29=4,$Q$13,0)))))*24</f>
        <v>0</v>
      </c>
      <c r="AV29" s="0" t="n">
        <f aca="false">IF(P29=8,$AJ$17,IF(P29=1,$Q$7,IF(P29=2,$Q$9,IF(P29=3,$Q$11,IF(P29=4,$Q$13,0)))))*24</f>
        <v>0</v>
      </c>
      <c r="AW29" s="0" t="n">
        <f aca="false">IF(Q29=8,$AJ$17,IF(Q29=1,$Q$7,IF(Q29=2,$Q$9,IF(Q29=3,$Q$11,IF(Q29=4,$Q$13,0)))))*24</f>
        <v>0</v>
      </c>
      <c r="AX29" s="0" t="n">
        <f aca="false">IF(R29=8,$AJ$17,IF(R29=1,$Q$7,IF(R29=2,$Q$9,IF(R29=3,$Q$11,IF(R29=4,$Q$13,0)))))*24</f>
        <v>0</v>
      </c>
      <c r="AY29" s="0" t="n">
        <f aca="false">IF(S29=8,$AJ$17,IF(S29=1,$Q$7,IF(S29=2,$Q$9,IF(S29=3,$Q$11,IF(S29=4,$Q$13,0)))))*24</f>
        <v>0</v>
      </c>
      <c r="AZ29" s="0" t="n">
        <f aca="false">IF(T29=8,$AJ$17,IF(T29=1,$Q$7,IF(T29=2,$Q$9,IF(T29=3,$Q$11,IF(T29=4,$Q$13,0)))))*24</f>
        <v>0</v>
      </c>
      <c r="BA29" s="0" t="n">
        <f aca="false">IF(U29=8,$AJ$17,IF(U29=1,$Q$7,IF(U29=2,$Q$9,IF(U29=3,$Q$11,IF(U29=4,$Q$13,0)))))*24</f>
        <v>0</v>
      </c>
      <c r="BB29" s="0" t="n">
        <f aca="false">IF(V29=8,$AJ$17,IF(V29=1,$Q$7,IF(V29=2,$Q$9,IF(V29=3,$Q$11,IF(V29=4,$Q$13,0)))))*24</f>
        <v>0</v>
      </c>
      <c r="BC29" s="0" t="n">
        <f aca="false">IF(W29=8,$AJ$17,IF(W29=1,$Q$7,IF(W29=2,$Q$9,IF(W29=3,$Q$11,IF(W29=4,$Q$13,0)))))*24</f>
        <v>0</v>
      </c>
      <c r="BD29" s="0" t="n">
        <f aca="false">IF(X29=8,$AJ$17,IF(X29=1,$Q$7,IF(X29=2,$Q$9,IF(X29=3,$Q$11,IF(X29=4,$Q$13,0)))))*24</f>
        <v>0</v>
      </c>
      <c r="BE29" s="0" t="n">
        <f aca="false">IF(Y29=8,$AJ$17,IF(Y29=1,$Q$7,IF(Y29=2,$Q$9,IF(Y29=3,$Q$11,IF(Y29=4,$Q$13,0)))))*24</f>
        <v>0</v>
      </c>
      <c r="BF29" s="0" t="n">
        <f aca="false">IF(Z29=8,$AJ$17,IF(Z29=1,$Q$7,IF(Z29=2,$Q$9,IF(Z29=3,$Q$11,IF(Z29=4,$Q$13,0)))))*24</f>
        <v>0</v>
      </c>
      <c r="BG29" s="0" t="n">
        <f aca="false">IF(AA29=8,$AJ$17,IF(AA29=1,$Q$7,IF(AA29=2,$Q$9,IF(AA29=3,$Q$11,IF(AA29=4,$Q$13,0)))))*24</f>
        <v>0</v>
      </c>
      <c r="BH29" s="0" t="n">
        <f aca="false">IF(AB29=8,$AJ$17,IF(AB29=1,$Q$7,IF(AB29=2,$Q$9,IF(AB29=3,$Q$11,IF(AB29=4,$Q$13,0)))))*24</f>
        <v>0</v>
      </c>
      <c r="BI29" s="0" t="n">
        <f aca="false">IF(AC29=8,$AJ$17,IF(AC29=1,$Q$7,IF(AC29=2,$Q$9,IF(AC29=3,$Q$11,IF(AC29=4,$Q$13,0)))))*24</f>
        <v>0</v>
      </c>
      <c r="BJ29" s="0" t="n">
        <f aca="false">IF(AD29=8,$AJ$17,IF(AD29=1,$Q$7,IF(AD29=2,$Q$9,IF(AD29=3,$Q$11,IF(AD29=4,$Q$13,0)))))*24</f>
        <v>0</v>
      </c>
      <c r="BK29" s="0" t="n">
        <f aca="false">IF(AE29=8,$AJ$17,IF(AE29=1,$Q$7,IF(AE29=2,$Q$9,IF(AE29=3,$Q$11,IF(AE29=4,$Q$13,0)))))*24</f>
        <v>0</v>
      </c>
      <c r="BL29" s="0" t="n">
        <f aca="false">IF(AF29=8,$AJ$17,IF(AF29=1,$Q$7,IF(AF29=2,$Q$9,IF(AF29=3,$Q$11,IF(AF29=4,$Q$13,0)))))*24</f>
        <v>0</v>
      </c>
      <c r="BM29" s="0" t="n">
        <f aca="false">IF(AG29=8,$AJ$17,IF(AG29=1,$Q$7,IF(AG29=2,$Q$9,IF(AG29=3,$Q$11,IF(AG29=4,$Q$13,0)))))*24</f>
        <v>0</v>
      </c>
    </row>
    <row r="30" customFormat="false" ht="15" hidden="false" customHeight="true" outlineLevel="0" collapsed="false">
      <c r="B30" s="461"/>
      <c r="C30" s="517" t="n">
        <f aca="false">SUM(AJ30:BM30)</f>
        <v>0</v>
      </c>
      <c r="D30" s="518"/>
      <c r="E30" s="452"/>
      <c r="F30" s="452"/>
      <c r="G30" s="452"/>
      <c r="H30" s="452"/>
      <c r="I30" s="452"/>
      <c r="J30" s="452"/>
      <c r="K30" s="452"/>
      <c r="L30" s="452"/>
      <c r="M30" s="452"/>
      <c r="N30" s="452"/>
      <c r="O30" s="452"/>
      <c r="P30" s="452"/>
      <c r="Q30" s="452"/>
      <c r="R30" s="452"/>
      <c r="S30" s="452"/>
      <c r="T30" s="452"/>
      <c r="U30" s="452"/>
      <c r="V30" s="452"/>
      <c r="W30" s="452"/>
      <c r="X30" s="452"/>
      <c r="Y30" s="452"/>
      <c r="Z30" s="452"/>
      <c r="AA30" s="452"/>
      <c r="AB30" s="452"/>
      <c r="AC30" s="452"/>
      <c r="AD30" s="452"/>
      <c r="AE30" s="452"/>
      <c r="AF30" s="452"/>
      <c r="AG30" s="520"/>
      <c r="AJ30" s="0" t="n">
        <f aca="false">IF(D30=8,$AJ$17,IF(D30=1,$Q$7,IF(D30=2,$Q$9,IF(D30=3,$Q$11,IF(D30=4,$Q$13,0)))))*24</f>
        <v>0</v>
      </c>
      <c r="AK30" s="0" t="n">
        <f aca="false">IF(E30=8,$AJ$17,IF(E30=1,$Q$7,IF(E30=2,$Q$9,IF(E30=3,$Q$11,IF(E30=4,$Q$13,0)))))*24</f>
        <v>0</v>
      </c>
      <c r="AL30" s="0" t="n">
        <f aca="false">IF(F30=8,$AJ$17,IF(F30=1,$Q$7,IF(F30=2,$Q$9,IF(F30=3,$Q$11,IF(F30=4,$Q$13,0)))))*24</f>
        <v>0</v>
      </c>
      <c r="AM30" s="0" t="n">
        <f aca="false">IF(G30=8,$AJ$17,IF(G30=1,$Q$7,IF(G30=2,$Q$9,IF(G30=3,$Q$11,IF(G30=4,$Q$13,0)))))*24</f>
        <v>0</v>
      </c>
      <c r="AN30" s="0" t="n">
        <f aca="false">IF(H30=8,$AJ$17,IF(H30=1,$Q$7,IF(H30=2,$Q$9,IF(H30=3,$Q$11,IF(H30=4,$Q$13,0)))))*24</f>
        <v>0</v>
      </c>
      <c r="AO30" s="0" t="n">
        <f aca="false">IF(I30=8,$AJ$17,IF(I30=1,$Q$7,IF(I30=2,$Q$9,IF(I30=3,$Q$11,IF(I30=4,$Q$13,0)))))*24</f>
        <v>0</v>
      </c>
      <c r="AP30" s="0" t="n">
        <f aca="false">IF(J30=8,$AJ$17,IF(J30=1,$Q$7,IF(J30=2,$Q$9,IF(J30=3,$Q$11,IF(J30=4,$Q$13,0)))))*24</f>
        <v>0</v>
      </c>
      <c r="AQ30" s="0" t="n">
        <f aca="false">IF(K30=8,$AJ$17,IF(K30=1,$Q$7,IF(K30=2,$Q$9,IF(K30=3,$Q$11,IF(K30=4,$Q$13,0)))))*24</f>
        <v>0</v>
      </c>
      <c r="AR30" s="0" t="n">
        <f aca="false">IF(L30=8,$AJ$17,IF(L30=1,$Q$7,IF(L30=2,$Q$9,IF(L30=3,$Q$11,IF(L30=4,$Q$13,0)))))*24</f>
        <v>0</v>
      </c>
      <c r="AS30" s="0" t="n">
        <f aca="false">IF(M30=8,$AJ$17,IF(M30=1,$Q$7,IF(M30=2,$Q$9,IF(M30=3,$Q$11,IF(M30=4,$Q$13,0)))))*24</f>
        <v>0</v>
      </c>
      <c r="AT30" s="0" t="n">
        <f aca="false">IF(N30=8,$AJ$17,IF(N30=1,$Q$7,IF(N30=2,$Q$9,IF(N30=3,$Q$11,IF(N30=4,$Q$13,0)))))*24</f>
        <v>0</v>
      </c>
      <c r="AU30" s="0" t="n">
        <f aca="false">IF(O30=8,$AJ$17,IF(O30=1,$Q$7,IF(O30=2,$Q$9,IF(O30=3,$Q$11,IF(O30=4,$Q$13,0)))))*24</f>
        <v>0</v>
      </c>
      <c r="AV30" s="0" t="n">
        <f aca="false">IF(P30=8,$AJ$17,IF(P30=1,$Q$7,IF(P30=2,$Q$9,IF(P30=3,$Q$11,IF(P30=4,$Q$13,0)))))*24</f>
        <v>0</v>
      </c>
      <c r="AW30" s="0" t="n">
        <f aca="false">IF(Q30=8,$AJ$17,IF(Q30=1,$Q$7,IF(Q30=2,$Q$9,IF(Q30=3,$Q$11,IF(Q30=4,$Q$13,0)))))*24</f>
        <v>0</v>
      </c>
      <c r="AX30" s="0" t="n">
        <f aca="false">IF(R30=8,$AJ$17,IF(R30=1,$Q$7,IF(R30=2,$Q$9,IF(R30=3,$Q$11,IF(R30=4,$Q$13,0)))))*24</f>
        <v>0</v>
      </c>
      <c r="AY30" s="0" t="n">
        <f aca="false">IF(S30=8,$AJ$17,IF(S30=1,$Q$7,IF(S30=2,$Q$9,IF(S30=3,$Q$11,IF(S30=4,$Q$13,0)))))*24</f>
        <v>0</v>
      </c>
      <c r="AZ30" s="0" t="n">
        <f aca="false">IF(T30=8,$AJ$17,IF(T30=1,$Q$7,IF(T30=2,$Q$9,IF(T30=3,$Q$11,IF(T30=4,$Q$13,0)))))*24</f>
        <v>0</v>
      </c>
      <c r="BA30" s="0" t="n">
        <f aca="false">IF(U30=8,$AJ$17,IF(U30=1,$Q$7,IF(U30=2,$Q$9,IF(U30=3,$Q$11,IF(U30=4,$Q$13,0)))))*24</f>
        <v>0</v>
      </c>
      <c r="BB30" s="0" t="n">
        <f aca="false">IF(V30=8,$AJ$17,IF(V30=1,$Q$7,IF(V30=2,$Q$9,IF(V30=3,$Q$11,IF(V30=4,$Q$13,0)))))*24</f>
        <v>0</v>
      </c>
      <c r="BC30" s="0" t="n">
        <f aca="false">IF(W30=8,$AJ$17,IF(W30=1,$Q$7,IF(W30=2,$Q$9,IF(W30=3,$Q$11,IF(W30=4,$Q$13,0)))))*24</f>
        <v>0</v>
      </c>
      <c r="BD30" s="0" t="n">
        <f aca="false">IF(X30=8,$AJ$17,IF(X30=1,$Q$7,IF(X30=2,$Q$9,IF(X30=3,$Q$11,IF(X30=4,$Q$13,0)))))*24</f>
        <v>0</v>
      </c>
      <c r="BE30" s="0" t="n">
        <f aca="false">IF(Y30=8,$AJ$17,IF(Y30=1,$Q$7,IF(Y30=2,$Q$9,IF(Y30=3,$Q$11,IF(Y30=4,$Q$13,0)))))*24</f>
        <v>0</v>
      </c>
      <c r="BF30" s="0" t="n">
        <f aca="false">IF(Z30=8,$AJ$17,IF(Z30=1,$Q$7,IF(Z30=2,$Q$9,IF(Z30=3,$Q$11,IF(Z30=4,$Q$13,0)))))*24</f>
        <v>0</v>
      </c>
      <c r="BG30" s="0" t="n">
        <f aca="false">IF(AA30=8,$AJ$17,IF(AA30=1,$Q$7,IF(AA30=2,$Q$9,IF(AA30=3,$Q$11,IF(AA30=4,$Q$13,0)))))*24</f>
        <v>0</v>
      </c>
      <c r="BH30" s="0" t="n">
        <f aca="false">IF(AB30=8,$AJ$17,IF(AB30=1,$Q$7,IF(AB30=2,$Q$9,IF(AB30=3,$Q$11,IF(AB30=4,$Q$13,0)))))*24</f>
        <v>0</v>
      </c>
      <c r="BI30" s="0" t="n">
        <f aca="false">IF(AC30=8,$AJ$17,IF(AC30=1,$Q$7,IF(AC30=2,$Q$9,IF(AC30=3,$Q$11,IF(AC30=4,$Q$13,0)))))*24</f>
        <v>0</v>
      </c>
      <c r="BJ30" s="0" t="n">
        <f aca="false">IF(AD30=8,$AJ$17,IF(AD30=1,$Q$7,IF(AD30=2,$Q$9,IF(AD30=3,$Q$11,IF(AD30=4,$Q$13,0)))))*24</f>
        <v>0</v>
      </c>
      <c r="BK30" s="0" t="n">
        <f aca="false">IF(AE30=8,$AJ$17,IF(AE30=1,$Q$7,IF(AE30=2,$Q$9,IF(AE30=3,$Q$11,IF(AE30=4,$Q$13,0)))))*24</f>
        <v>0</v>
      </c>
      <c r="BL30" s="0" t="n">
        <f aca="false">IF(AF30=8,$AJ$17,IF(AF30=1,$Q$7,IF(AF30=2,$Q$9,IF(AF30=3,$Q$11,IF(AF30=4,$Q$13,0)))))*24</f>
        <v>0</v>
      </c>
      <c r="BM30" s="0" t="n">
        <f aca="false">IF(AG30=8,$AJ$17,IF(AG30=1,$Q$7,IF(AG30=2,$Q$9,IF(AG30=3,$Q$11,IF(AG30=4,$Q$13,0)))))*24</f>
        <v>0</v>
      </c>
    </row>
    <row r="31" customFormat="false" ht="15" hidden="false" customHeight="true" outlineLevel="0" collapsed="false">
      <c r="B31" s="461"/>
      <c r="C31" s="517" t="n">
        <f aca="false">SUM(AJ31:BM31)</f>
        <v>0</v>
      </c>
      <c r="D31" s="518"/>
      <c r="E31" s="452"/>
      <c r="F31" s="452"/>
      <c r="G31" s="452"/>
      <c r="H31" s="452"/>
      <c r="I31" s="452"/>
      <c r="J31" s="452"/>
      <c r="K31" s="452"/>
      <c r="L31" s="452"/>
      <c r="M31" s="452"/>
      <c r="N31" s="452"/>
      <c r="O31" s="452"/>
      <c r="P31" s="452"/>
      <c r="Q31" s="452"/>
      <c r="R31" s="452"/>
      <c r="S31" s="452"/>
      <c r="T31" s="452"/>
      <c r="U31" s="452"/>
      <c r="V31" s="452"/>
      <c r="W31" s="452"/>
      <c r="X31" s="452"/>
      <c r="Y31" s="452"/>
      <c r="Z31" s="452"/>
      <c r="AA31" s="452"/>
      <c r="AB31" s="452"/>
      <c r="AC31" s="452"/>
      <c r="AD31" s="452"/>
      <c r="AE31" s="452"/>
      <c r="AF31" s="452"/>
      <c r="AG31" s="520"/>
      <c r="AJ31" s="0" t="n">
        <f aca="false">IF(D31=8,$AJ$17,IF(D31=1,$Q$7,IF(D31=2,$Q$9,IF(D31=3,$Q$11,IF(D31=4,$Q$13,0)))))*24</f>
        <v>0</v>
      </c>
      <c r="AK31" s="0" t="n">
        <f aca="false">IF(E31=8,$AJ$17,IF(E31=1,$Q$7,IF(E31=2,$Q$9,IF(E31=3,$Q$11,IF(E31=4,$Q$13,0)))))*24</f>
        <v>0</v>
      </c>
      <c r="AL31" s="0" t="n">
        <f aca="false">IF(F31=8,$AJ$17,IF(F31=1,$Q$7,IF(F31=2,$Q$9,IF(F31=3,$Q$11,IF(F31=4,$Q$13,0)))))*24</f>
        <v>0</v>
      </c>
      <c r="AM31" s="0" t="n">
        <f aca="false">IF(G31=8,$AJ$17,IF(G31=1,$Q$7,IF(G31=2,$Q$9,IF(G31=3,$Q$11,IF(G31=4,$Q$13,0)))))*24</f>
        <v>0</v>
      </c>
      <c r="AN31" s="0" t="n">
        <f aca="false">IF(H31=8,$AJ$17,IF(H31=1,$Q$7,IF(H31=2,$Q$9,IF(H31=3,$Q$11,IF(H31=4,$Q$13,0)))))*24</f>
        <v>0</v>
      </c>
      <c r="AO31" s="0" t="n">
        <f aca="false">IF(I31=8,$AJ$17,IF(I31=1,$Q$7,IF(I31=2,$Q$9,IF(I31=3,$Q$11,IF(I31=4,$Q$13,0)))))*24</f>
        <v>0</v>
      </c>
      <c r="AP31" s="0" t="n">
        <f aca="false">IF(J31=8,$AJ$17,IF(J31=1,$Q$7,IF(J31=2,$Q$9,IF(J31=3,$Q$11,IF(J31=4,$Q$13,0)))))*24</f>
        <v>0</v>
      </c>
      <c r="AQ31" s="0" t="n">
        <f aca="false">IF(K31=8,$AJ$17,IF(K31=1,$Q$7,IF(K31=2,$Q$9,IF(K31=3,$Q$11,IF(K31=4,$Q$13,0)))))*24</f>
        <v>0</v>
      </c>
      <c r="AR31" s="0" t="n">
        <f aca="false">IF(L31=8,$AJ$17,IF(L31=1,$Q$7,IF(L31=2,$Q$9,IF(L31=3,$Q$11,IF(L31=4,$Q$13,0)))))*24</f>
        <v>0</v>
      </c>
      <c r="AS31" s="0" t="n">
        <f aca="false">IF(M31=8,$AJ$17,IF(M31=1,$Q$7,IF(M31=2,$Q$9,IF(M31=3,$Q$11,IF(M31=4,$Q$13,0)))))*24</f>
        <v>0</v>
      </c>
      <c r="AT31" s="0" t="n">
        <f aca="false">IF(N31=8,$AJ$17,IF(N31=1,$Q$7,IF(N31=2,$Q$9,IF(N31=3,$Q$11,IF(N31=4,$Q$13,0)))))*24</f>
        <v>0</v>
      </c>
      <c r="AU31" s="0" t="n">
        <f aca="false">IF(O31=8,$AJ$17,IF(O31=1,$Q$7,IF(O31=2,$Q$9,IF(O31=3,$Q$11,IF(O31=4,$Q$13,0)))))*24</f>
        <v>0</v>
      </c>
      <c r="AV31" s="0" t="n">
        <f aca="false">IF(P31=8,$AJ$17,IF(P31=1,$Q$7,IF(P31=2,$Q$9,IF(P31=3,$Q$11,IF(P31=4,$Q$13,0)))))*24</f>
        <v>0</v>
      </c>
      <c r="AW31" s="0" t="n">
        <f aca="false">IF(Q31=8,$AJ$17,IF(Q31=1,$Q$7,IF(Q31=2,$Q$9,IF(Q31=3,$Q$11,IF(Q31=4,$Q$13,0)))))*24</f>
        <v>0</v>
      </c>
      <c r="AX31" s="0" t="n">
        <f aca="false">IF(R31=8,$AJ$17,IF(R31=1,$Q$7,IF(R31=2,$Q$9,IF(R31=3,$Q$11,IF(R31=4,$Q$13,0)))))*24</f>
        <v>0</v>
      </c>
      <c r="AY31" s="0" t="n">
        <f aca="false">IF(S31=8,$AJ$17,IF(S31=1,$Q$7,IF(S31=2,$Q$9,IF(S31=3,$Q$11,IF(S31=4,$Q$13,0)))))*24</f>
        <v>0</v>
      </c>
      <c r="AZ31" s="0" t="n">
        <f aca="false">IF(T31=8,$AJ$17,IF(T31=1,$Q$7,IF(T31=2,$Q$9,IF(T31=3,$Q$11,IF(T31=4,$Q$13,0)))))*24</f>
        <v>0</v>
      </c>
      <c r="BA31" s="0" t="n">
        <f aca="false">IF(U31=8,$AJ$17,IF(U31=1,$Q$7,IF(U31=2,$Q$9,IF(U31=3,$Q$11,IF(U31=4,$Q$13,0)))))*24</f>
        <v>0</v>
      </c>
      <c r="BB31" s="0" t="n">
        <f aca="false">IF(V31=8,$AJ$17,IF(V31=1,$Q$7,IF(V31=2,$Q$9,IF(V31=3,$Q$11,IF(V31=4,$Q$13,0)))))*24</f>
        <v>0</v>
      </c>
      <c r="BC31" s="0" t="n">
        <f aca="false">IF(W31=8,$AJ$17,IF(W31=1,$Q$7,IF(W31=2,$Q$9,IF(W31=3,$Q$11,IF(W31=4,$Q$13,0)))))*24</f>
        <v>0</v>
      </c>
      <c r="BD31" s="0" t="n">
        <f aca="false">IF(X31=8,$AJ$17,IF(X31=1,$Q$7,IF(X31=2,$Q$9,IF(X31=3,$Q$11,IF(X31=4,$Q$13,0)))))*24</f>
        <v>0</v>
      </c>
      <c r="BE31" s="0" t="n">
        <f aca="false">IF(Y31=8,$AJ$17,IF(Y31=1,$Q$7,IF(Y31=2,$Q$9,IF(Y31=3,$Q$11,IF(Y31=4,$Q$13,0)))))*24</f>
        <v>0</v>
      </c>
      <c r="BF31" s="0" t="n">
        <f aca="false">IF(Z31=8,$AJ$17,IF(Z31=1,$Q$7,IF(Z31=2,$Q$9,IF(Z31=3,$Q$11,IF(Z31=4,$Q$13,0)))))*24</f>
        <v>0</v>
      </c>
      <c r="BG31" s="0" t="n">
        <f aca="false">IF(AA31=8,$AJ$17,IF(AA31=1,$Q$7,IF(AA31=2,$Q$9,IF(AA31=3,$Q$11,IF(AA31=4,$Q$13,0)))))*24</f>
        <v>0</v>
      </c>
      <c r="BH31" s="0" t="n">
        <f aca="false">IF(AB31=8,$AJ$17,IF(AB31=1,$Q$7,IF(AB31=2,$Q$9,IF(AB31=3,$Q$11,IF(AB31=4,$Q$13,0)))))*24</f>
        <v>0</v>
      </c>
      <c r="BI31" s="0" t="n">
        <f aca="false">IF(AC31=8,$AJ$17,IF(AC31=1,$Q$7,IF(AC31=2,$Q$9,IF(AC31=3,$Q$11,IF(AC31=4,$Q$13,0)))))*24</f>
        <v>0</v>
      </c>
      <c r="BJ31" s="0" t="n">
        <f aca="false">IF(AD31=8,$AJ$17,IF(AD31=1,$Q$7,IF(AD31=2,$Q$9,IF(AD31=3,$Q$11,IF(AD31=4,$Q$13,0)))))*24</f>
        <v>0</v>
      </c>
      <c r="BK31" s="0" t="n">
        <f aca="false">IF(AE31=8,$AJ$17,IF(AE31=1,$Q$7,IF(AE31=2,$Q$9,IF(AE31=3,$Q$11,IF(AE31=4,$Q$13,0)))))*24</f>
        <v>0</v>
      </c>
      <c r="BL31" s="0" t="n">
        <f aca="false">IF(AF31=8,$AJ$17,IF(AF31=1,$Q$7,IF(AF31=2,$Q$9,IF(AF31=3,$Q$11,IF(AF31=4,$Q$13,0)))))*24</f>
        <v>0</v>
      </c>
      <c r="BM31" s="0" t="n">
        <f aca="false">IF(AG31=8,$AJ$17,IF(AG31=1,$Q$7,IF(AG31=2,$Q$9,IF(AG31=3,$Q$11,IF(AG31=4,$Q$13,0)))))*24</f>
        <v>0</v>
      </c>
    </row>
    <row r="32" customFormat="false" ht="15" hidden="false" customHeight="true" outlineLevel="0" collapsed="false">
      <c r="B32" s="461"/>
      <c r="C32" s="524" t="n">
        <f aca="false">SUM(AJ32:BM32)</f>
        <v>0</v>
      </c>
      <c r="D32" s="518"/>
      <c r="E32" s="452"/>
      <c r="F32" s="452"/>
      <c r="G32" s="452"/>
      <c r="H32" s="452"/>
      <c r="I32" s="452"/>
      <c r="J32" s="452"/>
      <c r="K32" s="452"/>
      <c r="L32" s="452"/>
      <c r="M32" s="452"/>
      <c r="N32" s="452"/>
      <c r="O32" s="452"/>
      <c r="P32" s="452"/>
      <c r="Q32" s="452"/>
      <c r="R32" s="452"/>
      <c r="S32" s="452"/>
      <c r="T32" s="452"/>
      <c r="U32" s="452"/>
      <c r="V32" s="452"/>
      <c r="W32" s="452"/>
      <c r="X32" s="452"/>
      <c r="Y32" s="452"/>
      <c r="Z32" s="452"/>
      <c r="AA32" s="452"/>
      <c r="AB32" s="452"/>
      <c r="AC32" s="452"/>
      <c r="AD32" s="452"/>
      <c r="AE32" s="452"/>
      <c r="AF32" s="452"/>
      <c r="AG32" s="520"/>
      <c r="AJ32" s="0" t="n">
        <f aca="false">IF(D32=8,$AJ$17,IF(D32=1,$Q$7,IF(D32=2,$Q$9,IF(D32=3,$Q$11,IF(D32=4,$Q$13,0)))))*24</f>
        <v>0</v>
      </c>
      <c r="AK32" s="0" t="n">
        <f aca="false">IF(E32=8,$AJ$17,IF(E32=1,$Q$7,IF(E32=2,$Q$9,IF(E32=3,$Q$11,IF(E32=4,$Q$13,0)))))*24</f>
        <v>0</v>
      </c>
      <c r="AL32" s="0" t="n">
        <f aca="false">IF(F32=8,$AJ$17,IF(F32=1,$Q$7,IF(F32=2,$Q$9,IF(F32=3,$Q$11,IF(F32=4,$Q$13,0)))))*24</f>
        <v>0</v>
      </c>
      <c r="AM32" s="0" t="n">
        <f aca="false">IF(G32=8,$AJ$17,IF(G32=1,$Q$7,IF(G32=2,$Q$9,IF(G32=3,$Q$11,IF(G32=4,$Q$13,0)))))*24</f>
        <v>0</v>
      </c>
      <c r="AN32" s="0" t="n">
        <f aca="false">IF(H32=8,$AJ$17,IF(H32=1,$Q$7,IF(H32=2,$Q$9,IF(H32=3,$Q$11,IF(H32=4,$Q$13,0)))))*24</f>
        <v>0</v>
      </c>
      <c r="AO32" s="0" t="n">
        <f aca="false">IF(I32=8,$AJ$17,IF(I32=1,$Q$7,IF(I32=2,$Q$9,IF(I32=3,$Q$11,IF(I32=4,$Q$13,0)))))*24</f>
        <v>0</v>
      </c>
      <c r="AP32" s="0" t="n">
        <f aca="false">IF(J32=8,$AJ$17,IF(J32=1,$Q$7,IF(J32=2,$Q$9,IF(J32=3,$Q$11,IF(J32=4,$Q$13,0)))))*24</f>
        <v>0</v>
      </c>
      <c r="AQ32" s="0" t="n">
        <f aca="false">IF(K32=8,$AJ$17,IF(K32=1,$Q$7,IF(K32=2,$Q$9,IF(K32=3,$Q$11,IF(K32=4,$Q$13,0)))))*24</f>
        <v>0</v>
      </c>
      <c r="AR32" s="0" t="n">
        <f aca="false">IF(L32=8,$AJ$17,IF(L32=1,$Q$7,IF(L32=2,$Q$9,IF(L32=3,$Q$11,IF(L32=4,$Q$13,0)))))*24</f>
        <v>0</v>
      </c>
      <c r="AS32" s="0" t="n">
        <f aca="false">IF(M32=8,$AJ$17,IF(M32=1,$Q$7,IF(M32=2,$Q$9,IF(M32=3,$Q$11,IF(M32=4,$Q$13,0)))))*24</f>
        <v>0</v>
      </c>
      <c r="AT32" s="0" t="n">
        <f aca="false">IF(N32=8,$AJ$17,IF(N32=1,$Q$7,IF(N32=2,$Q$9,IF(N32=3,$Q$11,IF(N32=4,$Q$13,0)))))*24</f>
        <v>0</v>
      </c>
      <c r="AU32" s="0" t="n">
        <f aca="false">IF(O32=8,$AJ$17,IF(O32=1,$Q$7,IF(O32=2,$Q$9,IF(O32=3,$Q$11,IF(O32=4,$Q$13,0)))))*24</f>
        <v>0</v>
      </c>
      <c r="AV32" s="0" t="n">
        <f aca="false">IF(P32=8,$AJ$17,IF(P32=1,$Q$7,IF(P32=2,$Q$9,IF(P32=3,$Q$11,IF(P32=4,$Q$13,0)))))*24</f>
        <v>0</v>
      </c>
      <c r="AW32" s="0" t="n">
        <f aca="false">IF(Q32=8,$AJ$17,IF(Q32=1,$Q$7,IF(Q32=2,$Q$9,IF(Q32=3,$Q$11,IF(Q32=4,$Q$13,0)))))*24</f>
        <v>0</v>
      </c>
      <c r="AX32" s="0" t="n">
        <f aca="false">IF(R32=8,$AJ$17,IF(R32=1,$Q$7,IF(R32=2,$Q$9,IF(R32=3,$Q$11,IF(R32=4,$Q$13,0)))))*24</f>
        <v>0</v>
      </c>
      <c r="AY32" s="0" t="n">
        <f aca="false">IF(S32=8,$AJ$17,IF(S32=1,$Q$7,IF(S32=2,$Q$9,IF(S32=3,$Q$11,IF(S32=4,$Q$13,0)))))*24</f>
        <v>0</v>
      </c>
      <c r="AZ32" s="0" t="n">
        <f aca="false">IF(T32=8,$AJ$17,IF(T32=1,$Q$7,IF(T32=2,$Q$9,IF(T32=3,$Q$11,IF(T32=4,$Q$13,0)))))*24</f>
        <v>0</v>
      </c>
      <c r="BA32" s="0" t="n">
        <f aca="false">IF(U32=8,$AJ$17,IF(U32=1,$Q$7,IF(U32=2,$Q$9,IF(U32=3,$Q$11,IF(U32=4,$Q$13,0)))))*24</f>
        <v>0</v>
      </c>
      <c r="BB32" s="0" t="n">
        <f aca="false">IF(V32=8,$AJ$17,IF(V32=1,$Q$7,IF(V32=2,$Q$9,IF(V32=3,$Q$11,IF(V32=4,$Q$13,0)))))*24</f>
        <v>0</v>
      </c>
      <c r="BC32" s="0" t="n">
        <f aca="false">IF(W32=8,$AJ$17,IF(W32=1,$Q$7,IF(W32=2,$Q$9,IF(W32=3,$Q$11,IF(W32=4,$Q$13,0)))))*24</f>
        <v>0</v>
      </c>
      <c r="BD32" s="0" t="n">
        <f aca="false">IF(X32=8,$AJ$17,IF(X32=1,$Q$7,IF(X32=2,$Q$9,IF(X32=3,$Q$11,IF(X32=4,$Q$13,0)))))*24</f>
        <v>0</v>
      </c>
      <c r="BE32" s="0" t="n">
        <f aca="false">IF(Y32=8,$AJ$17,IF(Y32=1,$Q$7,IF(Y32=2,$Q$9,IF(Y32=3,$Q$11,IF(Y32=4,$Q$13,0)))))*24</f>
        <v>0</v>
      </c>
      <c r="BF32" s="0" t="n">
        <f aca="false">IF(Z32=8,$AJ$17,IF(Z32=1,$Q$7,IF(Z32=2,$Q$9,IF(Z32=3,$Q$11,IF(Z32=4,$Q$13,0)))))*24</f>
        <v>0</v>
      </c>
      <c r="BG32" s="0" t="n">
        <f aca="false">IF(AA32=8,$AJ$17,IF(AA32=1,$Q$7,IF(AA32=2,$Q$9,IF(AA32=3,$Q$11,IF(AA32=4,$Q$13,0)))))*24</f>
        <v>0</v>
      </c>
      <c r="BH32" s="0" t="n">
        <f aca="false">IF(AB32=8,$AJ$17,IF(AB32=1,$Q$7,IF(AB32=2,$Q$9,IF(AB32=3,$Q$11,IF(AB32=4,$Q$13,0)))))*24</f>
        <v>0</v>
      </c>
      <c r="BI32" s="0" t="n">
        <f aca="false">IF(AC32=8,$AJ$17,IF(AC32=1,$Q$7,IF(AC32=2,$Q$9,IF(AC32=3,$Q$11,IF(AC32=4,$Q$13,0)))))*24</f>
        <v>0</v>
      </c>
      <c r="BJ32" s="0" t="n">
        <f aca="false">IF(AD32=8,$AJ$17,IF(AD32=1,$Q$7,IF(AD32=2,$Q$9,IF(AD32=3,$Q$11,IF(AD32=4,$Q$13,0)))))*24</f>
        <v>0</v>
      </c>
      <c r="BK32" s="0" t="n">
        <f aca="false">IF(AE32=8,$AJ$17,IF(AE32=1,$Q$7,IF(AE32=2,$Q$9,IF(AE32=3,$Q$11,IF(AE32=4,$Q$13,0)))))*24</f>
        <v>0</v>
      </c>
      <c r="BL32" s="0" t="n">
        <f aca="false">IF(AF32=8,$AJ$17,IF(AF32=1,$Q$7,IF(AF32=2,$Q$9,IF(AF32=3,$Q$11,IF(AF32=4,$Q$13,0)))))*24</f>
        <v>0</v>
      </c>
      <c r="BM32" s="0" t="n">
        <f aca="false">IF(AG32=8,$AJ$17,IF(AG32=1,$Q$7,IF(AG32=2,$Q$9,IF(AG32=3,$Q$11,IF(AG32=4,$Q$13,0)))))*24</f>
        <v>0</v>
      </c>
    </row>
    <row r="33" customFormat="false" ht="15" hidden="false" customHeight="true" outlineLevel="0" collapsed="false">
      <c r="B33" s="461"/>
      <c r="C33" s="524" t="n">
        <f aca="false">SUM(AJ33:BM33)</f>
        <v>0</v>
      </c>
      <c r="D33" s="518"/>
      <c r="E33" s="452"/>
      <c r="F33" s="452"/>
      <c r="G33" s="452"/>
      <c r="H33" s="452"/>
      <c r="I33" s="452"/>
      <c r="J33" s="452"/>
      <c r="K33" s="452"/>
      <c r="L33" s="452"/>
      <c r="M33" s="452"/>
      <c r="N33" s="452"/>
      <c r="O33" s="452"/>
      <c r="P33" s="452"/>
      <c r="Q33" s="452"/>
      <c r="R33" s="452"/>
      <c r="S33" s="452"/>
      <c r="T33" s="452"/>
      <c r="U33" s="452"/>
      <c r="V33" s="452"/>
      <c r="W33" s="452"/>
      <c r="X33" s="452"/>
      <c r="Y33" s="452"/>
      <c r="Z33" s="452"/>
      <c r="AA33" s="452"/>
      <c r="AB33" s="452"/>
      <c r="AC33" s="452"/>
      <c r="AD33" s="452"/>
      <c r="AE33" s="452"/>
      <c r="AF33" s="452"/>
      <c r="AG33" s="520"/>
      <c r="AJ33" s="0" t="n">
        <f aca="false">IF(D33=8,$AJ$17,IF(D33=1,$Q$7,IF(D33=2,$Q$9,IF(D33=3,$Q$11,IF(D33=4,$Q$13,0)))))*24</f>
        <v>0</v>
      </c>
      <c r="AK33" s="0" t="n">
        <f aca="false">IF(E33=8,$AJ$17,IF(E33=1,$Q$7,IF(E33=2,$Q$9,IF(E33=3,$Q$11,IF(E33=4,$Q$13,0)))))*24</f>
        <v>0</v>
      </c>
      <c r="AL33" s="0" t="n">
        <f aca="false">IF(F33=8,$AJ$17,IF(F33=1,$Q$7,IF(F33=2,$Q$9,IF(F33=3,$Q$11,IF(F33=4,$Q$13,0)))))*24</f>
        <v>0</v>
      </c>
      <c r="AM33" s="0" t="n">
        <f aca="false">IF(G33=8,$AJ$17,IF(G33=1,$Q$7,IF(G33=2,$Q$9,IF(G33=3,$Q$11,IF(G33=4,$Q$13,0)))))*24</f>
        <v>0</v>
      </c>
      <c r="AN33" s="0" t="n">
        <f aca="false">IF(H33=8,$AJ$17,IF(H33=1,$Q$7,IF(H33=2,$Q$9,IF(H33=3,$Q$11,IF(H33=4,$Q$13,0)))))*24</f>
        <v>0</v>
      </c>
      <c r="AO33" s="0" t="n">
        <f aca="false">IF(I33=8,$AJ$17,IF(I33=1,$Q$7,IF(I33=2,$Q$9,IF(I33=3,$Q$11,IF(I33=4,$Q$13,0)))))*24</f>
        <v>0</v>
      </c>
      <c r="AP33" s="0" t="n">
        <f aca="false">IF(J33=8,$AJ$17,IF(J33=1,$Q$7,IF(J33=2,$Q$9,IF(J33=3,$Q$11,IF(J33=4,$Q$13,0)))))*24</f>
        <v>0</v>
      </c>
      <c r="AQ33" s="0" t="n">
        <f aca="false">IF(K33=8,$AJ$17,IF(K33=1,$Q$7,IF(K33=2,$Q$9,IF(K33=3,$Q$11,IF(K33=4,$Q$13,0)))))*24</f>
        <v>0</v>
      </c>
      <c r="AR33" s="0" t="n">
        <f aca="false">IF(L33=8,$AJ$17,IF(L33=1,$Q$7,IF(L33=2,$Q$9,IF(L33=3,$Q$11,IF(L33=4,$Q$13,0)))))*24</f>
        <v>0</v>
      </c>
      <c r="AS33" s="0" t="n">
        <f aca="false">IF(M33=8,$AJ$17,IF(M33=1,$Q$7,IF(M33=2,$Q$9,IF(M33=3,$Q$11,IF(M33=4,$Q$13,0)))))*24</f>
        <v>0</v>
      </c>
      <c r="AT33" s="0" t="n">
        <f aca="false">IF(N33=8,$AJ$17,IF(N33=1,$Q$7,IF(N33=2,$Q$9,IF(N33=3,$Q$11,IF(N33=4,$Q$13,0)))))*24</f>
        <v>0</v>
      </c>
      <c r="AU33" s="0" t="n">
        <f aca="false">IF(O33=8,$AJ$17,IF(O33=1,$Q$7,IF(O33=2,$Q$9,IF(O33=3,$Q$11,IF(O33=4,$Q$13,0)))))*24</f>
        <v>0</v>
      </c>
      <c r="AV33" s="0" t="n">
        <f aca="false">IF(P33=8,$AJ$17,IF(P33=1,$Q$7,IF(P33=2,$Q$9,IF(P33=3,$Q$11,IF(P33=4,$Q$13,0)))))*24</f>
        <v>0</v>
      </c>
      <c r="AW33" s="0" t="n">
        <f aca="false">IF(Q33=8,$AJ$17,IF(Q33=1,$Q$7,IF(Q33=2,$Q$9,IF(Q33=3,$Q$11,IF(Q33=4,$Q$13,0)))))*24</f>
        <v>0</v>
      </c>
      <c r="AX33" s="0" t="n">
        <f aca="false">IF(R33=8,$AJ$17,IF(R33=1,$Q$7,IF(R33=2,$Q$9,IF(R33=3,$Q$11,IF(R33=4,$Q$13,0)))))*24</f>
        <v>0</v>
      </c>
      <c r="AY33" s="0" t="n">
        <f aca="false">IF(S33=8,$AJ$17,IF(S33=1,$Q$7,IF(S33=2,$Q$9,IF(S33=3,$Q$11,IF(S33=4,$Q$13,0)))))*24</f>
        <v>0</v>
      </c>
      <c r="AZ33" s="0" t="n">
        <f aca="false">IF(T33=8,$AJ$17,IF(T33=1,$Q$7,IF(T33=2,$Q$9,IF(T33=3,$Q$11,IF(T33=4,$Q$13,0)))))*24</f>
        <v>0</v>
      </c>
      <c r="BA33" s="0" t="n">
        <f aca="false">IF(U33=8,$AJ$17,IF(U33=1,$Q$7,IF(U33=2,$Q$9,IF(U33=3,$Q$11,IF(U33=4,$Q$13,0)))))*24</f>
        <v>0</v>
      </c>
      <c r="BB33" s="0" t="n">
        <f aca="false">IF(V33=8,$AJ$17,IF(V33=1,$Q$7,IF(V33=2,$Q$9,IF(V33=3,$Q$11,IF(V33=4,$Q$13,0)))))*24</f>
        <v>0</v>
      </c>
      <c r="BC33" s="0" t="n">
        <f aca="false">IF(W33=8,$AJ$17,IF(W33=1,$Q$7,IF(W33=2,$Q$9,IF(W33=3,$Q$11,IF(W33=4,$Q$13,0)))))*24</f>
        <v>0</v>
      </c>
      <c r="BD33" s="0" t="n">
        <f aca="false">IF(X33=8,$AJ$17,IF(X33=1,$Q$7,IF(X33=2,$Q$9,IF(X33=3,$Q$11,IF(X33=4,$Q$13,0)))))*24</f>
        <v>0</v>
      </c>
      <c r="BE33" s="0" t="n">
        <f aca="false">IF(Y33=8,$AJ$17,IF(Y33=1,$Q$7,IF(Y33=2,$Q$9,IF(Y33=3,$Q$11,IF(Y33=4,$Q$13,0)))))*24</f>
        <v>0</v>
      </c>
      <c r="BF33" s="0" t="n">
        <f aca="false">IF(Z33=8,$AJ$17,IF(Z33=1,$Q$7,IF(Z33=2,$Q$9,IF(Z33=3,$Q$11,IF(Z33=4,$Q$13,0)))))*24</f>
        <v>0</v>
      </c>
      <c r="BG33" s="0" t="n">
        <f aca="false">IF(AA33=8,$AJ$17,IF(AA33=1,$Q$7,IF(AA33=2,$Q$9,IF(AA33=3,$Q$11,IF(AA33=4,$Q$13,0)))))*24</f>
        <v>0</v>
      </c>
      <c r="BH33" s="0" t="n">
        <f aca="false">IF(AB33=8,$AJ$17,IF(AB33=1,$Q$7,IF(AB33=2,$Q$9,IF(AB33=3,$Q$11,IF(AB33=4,$Q$13,0)))))*24</f>
        <v>0</v>
      </c>
      <c r="BI33" s="0" t="n">
        <f aca="false">IF(AC33=8,$AJ$17,IF(AC33=1,$Q$7,IF(AC33=2,$Q$9,IF(AC33=3,$Q$11,IF(AC33=4,$Q$13,0)))))*24</f>
        <v>0</v>
      </c>
      <c r="BJ33" s="0" t="n">
        <f aca="false">IF(AD33=8,$AJ$17,IF(AD33=1,$Q$7,IF(AD33=2,$Q$9,IF(AD33=3,$Q$11,IF(AD33=4,$Q$13,0)))))*24</f>
        <v>0</v>
      </c>
      <c r="BK33" s="0" t="n">
        <f aca="false">IF(AE33=8,$AJ$17,IF(AE33=1,$Q$7,IF(AE33=2,$Q$9,IF(AE33=3,$Q$11,IF(AE33=4,$Q$13,0)))))*24</f>
        <v>0</v>
      </c>
      <c r="BL33" s="0" t="n">
        <f aca="false">IF(AF33=8,$AJ$17,IF(AF33=1,$Q$7,IF(AF33=2,$Q$9,IF(AF33=3,$Q$11,IF(AF33=4,$Q$13,0)))))*24</f>
        <v>0</v>
      </c>
      <c r="BM33" s="0" t="n">
        <f aca="false">IF(AG33=8,$AJ$17,IF(AG33=1,$Q$7,IF(AG33=2,$Q$9,IF(AG33=3,$Q$11,IF(AG33=4,$Q$13,0)))))*24</f>
        <v>0</v>
      </c>
    </row>
    <row r="34" customFormat="false" ht="15" hidden="false" customHeight="true" outlineLevel="0" collapsed="false">
      <c r="B34" s="461"/>
      <c r="C34" s="524" t="n">
        <f aca="false">SUM(AJ34:BM34)</f>
        <v>0</v>
      </c>
      <c r="D34" s="518"/>
      <c r="E34" s="452"/>
      <c r="F34" s="452"/>
      <c r="G34" s="452"/>
      <c r="H34" s="452"/>
      <c r="I34" s="452"/>
      <c r="J34" s="452"/>
      <c r="K34" s="452"/>
      <c r="L34" s="452"/>
      <c r="M34" s="452"/>
      <c r="N34" s="452"/>
      <c r="O34" s="452"/>
      <c r="P34" s="452"/>
      <c r="Q34" s="452"/>
      <c r="R34" s="452"/>
      <c r="S34" s="452"/>
      <c r="T34" s="452"/>
      <c r="U34" s="452"/>
      <c r="V34" s="452"/>
      <c r="W34" s="452"/>
      <c r="X34" s="452"/>
      <c r="Y34" s="452"/>
      <c r="Z34" s="452"/>
      <c r="AA34" s="452"/>
      <c r="AB34" s="452"/>
      <c r="AC34" s="452"/>
      <c r="AD34" s="452"/>
      <c r="AE34" s="452"/>
      <c r="AF34" s="452"/>
      <c r="AG34" s="520"/>
      <c r="AJ34" s="0" t="n">
        <f aca="false">IF(D34=8,$AJ$17,IF(D34=1,$Q$7,IF(D34=2,$Q$9,IF(D34=3,$Q$11,IF(D34=4,$Q$13,0)))))*24</f>
        <v>0</v>
      </c>
      <c r="AK34" s="0" t="n">
        <f aca="false">IF(E34=8,$AJ$17,IF(E34=1,$Q$7,IF(E34=2,$Q$9,IF(E34=3,$Q$11,IF(E34=4,$Q$13,0)))))*24</f>
        <v>0</v>
      </c>
      <c r="AL34" s="0" t="n">
        <f aca="false">IF(F34=8,$AJ$17,IF(F34=1,$Q$7,IF(F34=2,$Q$9,IF(F34=3,$Q$11,IF(F34=4,$Q$13,0)))))*24</f>
        <v>0</v>
      </c>
      <c r="AM34" s="0" t="n">
        <f aca="false">IF(G34=8,$AJ$17,IF(G34=1,$Q$7,IF(G34=2,$Q$9,IF(G34=3,$Q$11,IF(G34=4,$Q$13,0)))))*24</f>
        <v>0</v>
      </c>
      <c r="AN34" s="0" t="n">
        <f aca="false">IF(H34=8,$AJ$17,IF(H34=1,$Q$7,IF(H34=2,$Q$9,IF(H34=3,$Q$11,IF(H34=4,$Q$13,0)))))*24</f>
        <v>0</v>
      </c>
      <c r="AO34" s="0" t="n">
        <f aca="false">IF(I34=8,$AJ$17,IF(I34=1,$Q$7,IF(I34=2,$Q$9,IF(I34=3,$Q$11,IF(I34=4,$Q$13,0)))))*24</f>
        <v>0</v>
      </c>
      <c r="AP34" s="0" t="n">
        <f aca="false">IF(J34=8,$AJ$17,IF(J34=1,$Q$7,IF(J34=2,$Q$9,IF(J34=3,$Q$11,IF(J34=4,$Q$13,0)))))*24</f>
        <v>0</v>
      </c>
      <c r="AQ34" s="0" t="n">
        <f aca="false">IF(K34=8,$AJ$17,IF(K34=1,$Q$7,IF(K34=2,$Q$9,IF(K34=3,$Q$11,IF(K34=4,$Q$13,0)))))*24</f>
        <v>0</v>
      </c>
      <c r="AR34" s="0" t="n">
        <f aca="false">IF(L34=8,$AJ$17,IF(L34=1,$Q$7,IF(L34=2,$Q$9,IF(L34=3,$Q$11,IF(L34=4,$Q$13,0)))))*24</f>
        <v>0</v>
      </c>
      <c r="AS34" s="0" t="n">
        <f aca="false">IF(M34=8,$AJ$17,IF(M34=1,$Q$7,IF(M34=2,$Q$9,IF(M34=3,$Q$11,IF(M34=4,$Q$13,0)))))*24</f>
        <v>0</v>
      </c>
      <c r="AT34" s="0" t="n">
        <f aca="false">IF(N34=8,$AJ$17,IF(N34=1,$Q$7,IF(N34=2,$Q$9,IF(N34=3,$Q$11,IF(N34=4,$Q$13,0)))))*24</f>
        <v>0</v>
      </c>
      <c r="AU34" s="0" t="n">
        <f aca="false">IF(O34=8,$AJ$17,IF(O34=1,$Q$7,IF(O34=2,$Q$9,IF(O34=3,$Q$11,IF(O34=4,$Q$13,0)))))*24</f>
        <v>0</v>
      </c>
      <c r="AV34" s="0" t="n">
        <f aca="false">IF(P34=8,$AJ$17,IF(P34=1,$Q$7,IF(P34=2,$Q$9,IF(P34=3,$Q$11,IF(P34=4,$Q$13,0)))))*24</f>
        <v>0</v>
      </c>
      <c r="AW34" s="0" t="n">
        <f aca="false">IF(Q34=8,$AJ$17,IF(Q34=1,$Q$7,IF(Q34=2,$Q$9,IF(Q34=3,$Q$11,IF(Q34=4,$Q$13,0)))))*24</f>
        <v>0</v>
      </c>
      <c r="AX34" s="0" t="n">
        <f aca="false">IF(R34=8,$AJ$17,IF(R34=1,$Q$7,IF(R34=2,$Q$9,IF(R34=3,$Q$11,IF(R34=4,$Q$13,0)))))*24</f>
        <v>0</v>
      </c>
      <c r="AY34" s="0" t="n">
        <f aca="false">IF(S34=8,$AJ$17,IF(S34=1,$Q$7,IF(S34=2,$Q$9,IF(S34=3,$Q$11,IF(S34=4,$Q$13,0)))))*24</f>
        <v>0</v>
      </c>
      <c r="AZ34" s="0" t="n">
        <f aca="false">IF(T34=8,$AJ$17,IF(T34=1,$Q$7,IF(T34=2,$Q$9,IF(T34=3,$Q$11,IF(T34=4,$Q$13,0)))))*24</f>
        <v>0</v>
      </c>
      <c r="BA34" s="0" t="n">
        <f aca="false">IF(U34=8,$AJ$17,IF(U34=1,$Q$7,IF(U34=2,$Q$9,IF(U34=3,$Q$11,IF(U34=4,$Q$13,0)))))*24</f>
        <v>0</v>
      </c>
      <c r="BB34" s="0" t="n">
        <f aca="false">IF(V34=8,$AJ$17,IF(V34=1,$Q$7,IF(V34=2,$Q$9,IF(V34=3,$Q$11,IF(V34=4,$Q$13,0)))))*24</f>
        <v>0</v>
      </c>
      <c r="BC34" s="0" t="n">
        <f aca="false">IF(W34=8,$AJ$17,IF(W34=1,$Q$7,IF(W34=2,$Q$9,IF(W34=3,$Q$11,IF(W34=4,$Q$13,0)))))*24</f>
        <v>0</v>
      </c>
      <c r="BD34" s="0" t="n">
        <f aca="false">IF(X34=8,$AJ$17,IF(X34=1,$Q$7,IF(X34=2,$Q$9,IF(X34=3,$Q$11,IF(X34=4,$Q$13,0)))))*24</f>
        <v>0</v>
      </c>
      <c r="BE34" s="0" t="n">
        <f aca="false">IF(Y34=8,$AJ$17,IF(Y34=1,$Q$7,IF(Y34=2,$Q$9,IF(Y34=3,$Q$11,IF(Y34=4,$Q$13,0)))))*24</f>
        <v>0</v>
      </c>
      <c r="BF34" s="0" t="n">
        <f aca="false">IF(Z34=8,$AJ$17,IF(Z34=1,$Q$7,IF(Z34=2,$Q$9,IF(Z34=3,$Q$11,IF(Z34=4,$Q$13,0)))))*24</f>
        <v>0</v>
      </c>
      <c r="BG34" s="0" t="n">
        <f aca="false">IF(AA34=8,$AJ$17,IF(AA34=1,$Q$7,IF(AA34=2,$Q$9,IF(AA34=3,$Q$11,IF(AA34=4,$Q$13,0)))))*24</f>
        <v>0</v>
      </c>
      <c r="BH34" s="0" t="n">
        <f aca="false">IF(AB34=8,$AJ$17,IF(AB34=1,$Q$7,IF(AB34=2,$Q$9,IF(AB34=3,$Q$11,IF(AB34=4,$Q$13,0)))))*24</f>
        <v>0</v>
      </c>
      <c r="BI34" s="0" t="n">
        <f aca="false">IF(AC34=8,$AJ$17,IF(AC34=1,$Q$7,IF(AC34=2,$Q$9,IF(AC34=3,$Q$11,IF(AC34=4,$Q$13,0)))))*24</f>
        <v>0</v>
      </c>
      <c r="BJ34" s="0" t="n">
        <f aca="false">IF(AD34=8,$AJ$17,IF(AD34=1,$Q$7,IF(AD34=2,$Q$9,IF(AD34=3,$Q$11,IF(AD34=4,$Q$13,0)))))*24</f>
        <v>0</v>
      </c>
      <c r="BK34" s="0" t="n">
        <f aca="false">IF(AE34=8,$AJ$17,IF(AE34=1,$Q$7,IF(AE34=2,$Q$9,IF(AE34=3,$Q$11,IF(AE34=4,$Q$13,0)))))*24</f>
        <v>0</v>
      </c>
      <c r="BL34" s="0" t="n">
        <f aca="false">IF(AF34=8,$AJ$17,IF(AF34=1,$Q$7,IF(AF34=2,$Q$9,IF(AF34=3,$Q$11,IF(AF34=4,$Q$13,0)))))*24</f>
        <v>0</v>
      </c>
      <c r="BM34" s="0" t="n">
        <f aca="false">IF(AG34=8,$AJ$17,IF(AG34=1,$Q$7,IF(AG34=2,$Q$9,IF(AG34=3,$Q$11,IF(AG34=4,$Q$13,0)))))*24</f>
        <v>0</v>
      </c>
    </row>
    <row r="35" customFormat="false" ht="15" hidden="false" customHeight="true" outlineLevel="0" collapsed="false">
      <c r="B35" s="461"/>
      <c r="C35" s="524" t="n">
        <f aca="false">SUM(AJ35:BM35)</f>
        <v>0</v>
      </c>
      <c r="D35" s="518"/>
      <c r="E35" s="452"/>
      <c r="F35" s="452"/>
      <c r="G35" s="452"/>
      <c r="H35" s="452"/>
      <c r="I35" s="452"/>
      <c r="J35" s="452"/>
      <c r="K35" s="452"/>
      <c r="L35" s="452"/>
      <c r="M35" s="452"/>
      <c r="N35" s="452"/>
      <c r="O35" s="452"/>
      <c r="P35" s="452"/>
      <c r="Q35" s="452"/>
      <c r="R35" s="452"/>
      <c r="S35" s="452"/>
      <c r="T35" s="452"/>
      <c r="U35" s="452"/>
      <c r="V35" s="452"/>
      <c r="W35" s="452"/>
      <c r="X35" s="452"/>
      <c r="Y35" s="452"/>
      <c r="Z35" s="452"/>
      <c r="AA35" s="452"/>
      <c r="AB35" s="452"/>
      <c r="AC35" s="452"/>
      <c r="AD35" s="452"/>
      <c r="AE35" s="452"/>
      <c r="AF35" s="452"/>
      <c r="AG35" s="520"/>
      <c r="AJ35" s="0" t="n">
        <f aca="false">IF(D35=8,$AJ$17,IF(D35=1,$Q$7,IF(D35=2,$Q$9,IF(D35=3,$Q$11,IF(D35=4,$Q$13,0)))))*24</f>
        <v>0</v>
      </c>
      <c r="AK35" s="0" t="n">
        <f aca="false">IF(E35=8,$AJ$17,IF(E35=1,$Q$7,IF(E35=2,$Q$9,IF(E35=3,$Q$11,IF(E35=4,$Q$13,0)))))*24</f>
        <v>0</v>
      </c>
      <c r="AL35" s="0" t="n">
        <f aca="false">IF(F35=8,$AJ$17,IF(F35=1,$Q$7,IF(F35=2,$Q$9,IF(F35=3,$Q$11,IF(F35=4,$Q$13,0)))))*24</f>
        <v>0</v>
      </c>
      <c r="AM35" s="0" t="n">
        <f aca="false">IF(G35=8,$AJ$17,IF(G35=1,$Q$7,IF(G35=2,$Q$9,IF(G35=3,$Q$11,IF(G35=4,$Q$13,0)))))*24</f>
        <v>0</v>
      </c>
      <c r="AN35" s="0" t="n">
        <f aca="false">IF(H35=8,$AJ$17,IF(H35=1,$Q$7,IF(H35=2,$Q$9,IF(H35=3,$Q$11,IF(H35=4,$Q$13,0)))))*24</f>
        <v>0</v>
      </c>
      <c r="AO35" s="0" t="n">
        <f aca="false">IF(I35=8,$AJ$17,IF(I35=1,$Q$7,IF(I35=2,$Q$9,IF(I35=3,$Q$11,IF(I35=4,$Q$13,0)))))*24</f>
        <v>0</v>
      </c>
      <c r="AP35" s="0" t="n">
        <f aca="false">IF(J35=8,$AJ$17,IF(J35=1,$Q$7,IF(J35=2,$Q$9,IF(J35=3,$Q$11,IF(J35=4,$Q$13,0)))))*24</f>
        <v>0</v>
      </c>
      <c r="AQ35" s="0" t="n">
        <f aca="false">IF(K35=8,$AJ$17,IF(K35=1,$Q$7,IF(K35=2,$Q$9,IF(K35=3,$Q$11,IF(K35=4,$Q$13,0)))))*24</f>
        <v>0</v>
      </c>
      <c r="AR35" s="0" t="n">
        <f aca="false">IF(L35=8,$AJ$17,IF(L35=1,$Q$7,IF(L35=2,$Q$9,IF(L35=3,$Q$11,IF(L35=4,$Q$13,0)))))*24</f>
        <v>0</v>
      </c>
      <c r="AS35" s="0" t="n">
        <f aca="false">IF(M35=8,$AJ$17,IF(M35=1,$Q$7,IF(M35=2,$Q$9,IF(M35=3,$Q$11,IF(M35=4,$Q$13,0)))))*24</f>
        <v>0</v>
      </c>
      <c r="AT35" s="0" t="n">
        <f aca="false">IF(N35=8,$AJ$17,IF(N35=1,$Q$7,IF(N35=2,$Q$9,IF(N35=3,$Q$11,IF(N35=4,$Q$13,0)))))*24</f>
        <v>0</v>
      </c>
      <c r="AU35" s="0" t="n">
        <f aca="false">IF(O35=8,$AJ$17,IF(O35=1,$Q$7,IF(O35=2,$Q$9,IF(O35=3,$Q$11,IF(O35=4,$Q$13,0)))))*24</f>
        <v>0</v>
      </c>
      <c r="AV35" s="0" t="n">
        <f aca="false">IF(P35=8,$AJ$17,IF(P35=1,$Q$7,IF(P35=2,$Q$9,IF(P35=3,$Q$11,IF(P35=4,$Q$13,0)))))*24</f>
        <v>0</v>
      </c>
      <c r="AW35" s="0" t="n">
        <f aca="false">IF(Q35=8,$AJ$17,IF(Q35=1,$Q$7,IF(Q35=2,$Q$9,IF(Q35=3,$Q$11,IF(Q35=4,$Q$13,0)))))*24</f>
        <v>0</v>
      </c>
      <c r="AX35" s="0" t="n">
        <f aca="false">IF(R35=8,$AJ$17,IF(R35=1,$Q$7,IF(R35=2,$Q$9,IF(R35=3,$Q$11,IF(R35=4,$Q$13,0)))))*24</f>
        <v>0</v>
      </c>
      <c r="AY35" s="0" t="n">
        <f aca="false">IF(S35=8,$AJ$17,IF(S35=1,$Q$7,IF(S35=2,$Q$9,IF(S35=3,$Q$11,IF(S35=4,$Q$13,0)))))*24</f>
        <v>0</v>
      </c>
      <c r="AZ35" s="0" t="n">
        <f aca="false">IF(T35=8,$AJ$17,IF(T35=1,$Q$7,IF(T35=2,$Q$9,IF(T35=3,$Q$11,IF(T35=4,$Q$13,0)))))*24</f>
        <v>0</v>
      </c>
      <c r="BA35" s="0" t="n">
        <f aca="false">IF(U35=8,$AJ$17,IF(U35=1,$Q$7,IF(U35=2,$Q$9,IF(U35=3,$Q$11,IF(U35=4,$Q$13,0)))))*24</f>
        <v>0</v>
      </c>
      <c r="BB35" s="0" t="n">
        <f aca="false">IF(V35=8,$AJ$17,IF(V35=1,$Q$7,IF(V35=2,$Q$9,IF(V35=3,$Q$11,IF(V35=4,$Q$13,0)))))*24</f>
        <v>0</v>
      </c>
      <c r="BC35" s="0" t="n">
        <f aca="false">IF(W35=8,$AJ$17,IF(W35=1,$Q$7,IF(W35=2,$Q$9,IF(W35=3,$Q$11,IF(W35=4,$Q$13,0)))))*24</f>
        <v>0</v>
      </c>
      <c r="BD35" s="0" t="n">
        <f aca="false">IF(X35=8,$AJ$17,IF(X35=1,$Q$7,IF(X35=2,$Q$9,IF(X35=3,$Q$11,IF(X35=4,$Q$13,0)))))*24</f>
        <v>0</v>
      </c>
      <c r="BE35" s="0" t="n">
        <f aca="false">IF(Y35=8,$AJ$17,IF(Y35=1,$Q$7,IF(Y35=2,$Q$9,IF(Y35=3,$Q$11,IF(Y35=4,$Q$13,0)))))*24</f>
        <v>0</v>
      </c>
      <c r="BF35" s="0" t="n">
        <f aca="false">IF(Z35=8,$AJ$17,IF(Z35=1,$Q$7,IF(Z35=2,$Q$9,IF(Z35=3,$Q$11,IF(Z35=4,$Q$13,0)))))*24</f>
        <v>0</v>
      </c>
      <c r="BG35" s="0" t="n">
        <f aca="false">IF(AA35=8,$AJ$17,IF(AA35=1,$Q$7,IF(AA35=2,$Q$9,IF(AA35=3,$Q$11,IF(AA35=4,$Q$13,0)))))*24</f>
        <v>0</v>
      </c>
      <c r="BH35" s="0" t="n">
        <f aca="false">IF(AB35=8,$AJ$17,IF(AB35=1,$Q$7,IF(AB35=2,$Q$9,IF(AB35=3,$Q$11,IF(AB35=4,$Q$13,0)))))*24</f>
        <v>0</v>
      </c>
      <c r="BI35" s="0" t="n">
        <f aca="false">IF(AC35=8,$AJ$17,IF(AC35=1,$Q$7,IF(AC35=2,$Q$9,IF(AC35=3,$Q$11,IF(AC35=4,$Q$13,0)))))*24</f>
        <v>0</v>
      </c>
      <c r="BJ35" s="0" t="n">
        <f aca="false">IF(AD35=8,$AJ$17,IF(AD35=1,$Q$7,IF(AD35=2,$Q$9,IF(AD35=3,$Q$11,IF(AD35=4,$Q$13,0)))))*24</f>
        <v>0</v>
      </c>
      <c r="BK35" s="0" t="n">
        <f aca="false">IF(AE35=8,$AJ$17,IF(AE35=1,$Q$7,IF(AE35=2,$Q$9,IF(AE35=3,$Q$11,IF(AE35=4,$Q$13,0)))))*24</f>
        <v>0</v>
      </c>
      <c r="BL35" s="0" t="n">
        <f aca="false">IF(AF35=8,$AJ$17,IF(AF35=1,$Q$7,IF(AF35=2,$Q$9,IF(AF35=3,$Q$11,IF(AF35=4,$Q$13,0)))))*24</f>
        <v>0</v>
      </c>
      <c r="BM35" s="0" t="n">
        <f aca="false">IF(AG35=8,$AJ$17,IF(AG35=1,$Q$7,IF(AG35=2,$Q$9,IF(AG35=3,$Q$11,IF(AG35=4,$Q$13,0)))))*24</f>
        <v>0</v>
      </c>
    </row>
    <row r="36" customFormat="false" ht="15" hidden="false" customHeight="true" outlineLevel="0" collapsed="false">
      <c r="B36" s="461"/>
      <c r="C36" s="524" t="n">
        <f aca="false">SUM(AJ36:BM36)</f>
        <v>0</v>
      </c>
      <c r="D36" s="518"/>
      <c r="E36" s="452"/>
      <c r="F36" s="452"/>
      <c r="G36" s="452"/>
      <c r="H36" s="452"/>
      <c r="I36" s="452"/>
      <c r="J36" s="452"/>
      <c r="K36" s="452"/>
      <c r="L36" s="452"/>
      <c r="M36" s="452"/>
      <c r="N36" s="452"/>
      <c r="O36" s="452"/>
      <c r="P36" s="452"/>
      <c r="Q36" s="452"/>
      <c r="R36" s="452"/>
      <c r="S36" s="452"/>
      <c r="T36" s="452"/>
      <c r="U36" s="452"/>
      <c r="V36" s="452"/>
      <c r="W36" s="452"/>
      <c r="X36" s="452"/>
      <c r="Y36" s="452"/>
      <c r="Z36" s="452"/>
      <c r="AA36" s="452"/>
      <c r="AB36" s="452"/>
      <c r="AC36" s="452"/>
      <c r="AD36" s="452"/>
      <c r="AE36" s="452"/>
      <c r="AF36" s="452"/>
      <c r="AG36" s="520"/>
      <c r="AJ36" s="0" t="n">
        <f aca="false">IF(D36=8,$AJ$17,IF(D36=1,$Q$7,IF(D36=2,$Q$9,IF(D36=3,$Q$11,IF(D36=4,$Q$13,0)))))*24</f>
        <v>0</v>
      </c>
      <c r="AK36" s="0" t="n">
        <f aca="false">IF(E36=8,$AJ$17,IF(E36=1,$Q$7,IF(E36=2,$Q$9,IF(E36=3,$Q$11,IF(E36=4,$Q$13,0)))))*24</f>
        <v>0</v>
      </c>
      <c r="AL36" s="0" t="n">
        <f aca="false">IF(F36=8,$AJ$17,IF(F36=1,$Q$7,IF(F36=2,$Q$9,IF(F36=3,$Q$11,IF(F36=4,$Q$13,0)))))*24</f>
        <v>0</v>
      </c>
      <c r="AM36" s="0" t="n">
        <f aca="false">IF(G36=8,$AJ$17,IF(G36=1,$Q$7,IF(G36=2,$Q$9,IF(G36=3,$Q$11,IF(G36=4,$Q$13,0)))))*24</f>
        <v>0</v>
      </c>
      <c r="AN36" s="0" t="n">
        <f aca="false">IF(H36=8,$AJ$17,IF(H36=1,$Q$7,IF(H36=2,$Q$9,IF(H36=3,$Q$11,IF(H36=4,$Q$13,0)))))*24</f>
        <v>0</v>
      </c>
      <c r="AO36" s="0" t="n">
        <f aca="false">IF(I36=8,$AJ$17,IF(I36=1,$Q$7,IF(I36=2,$Q$9,IF(I36=3,$Q$11,IF(I36=4,$Q$13,0)))))*24</f>
        <v>0</v>
      </c>
      <c r="AP36" s="0" t="n">
        <f aca="false">IF(J36=8,$AJ$17,IF(J36=1,$Q$7,IF(J36=2,$Q$9,IF(J36=3,$Q$11,IF(J36=4,$Q$13,0)))))*24</f>
        <v>0</v>
      </c>
      <c r="AQ36" s="0" t="n">
        <f aca="false">IF(K36=8,$AJ$17,IF(K36=1,$Q$7,IF(K36=2,$Q$9,IF(K36=3,$Q$11,IF(K36=4,$Q$13,0)))))*24</f>
        <v>0</v>
      </c>
      <c r="AR36" s="0" t="n">
        <f aca="false">IF(L36=8,$AJ$17,IF(L36=1,$Q$7,IF(L36=2,$Q$9,IF(L36=3,$Q$11,IF(L36=4,$Q$13,0)))))*24</f>
        <v>0</v>
      </c>
      <c r="AS36" s="0" t="n">
        <f aca="false">IF(M36=8,$AJ$17,IF(M36=1,$Q$7,IF(M36=2,$Q$9,IF(M36=3,$Q$11,IF(M36=4,$Q$13,0)))))*24</f>
        <v>0</v>
      </c>
      <c r="AT36" s="0" t="n">
        <f aca="false">IF(N36=8,$AJ$17,IF(N36=1,$Q$7,IF(N36=2,$Q$9,IF(N36=3,$Q$11,IF(N36=4,$Q$13,0)))))*24</f>
        <v>0</v>
      </c>
      <c r="AU36" s="0" t="n">
        <f aca="false">IF(O36=8,$AJ$17,IF(O36=1,$Q$7,IF(O36=2,$Q$9,IF(O36=3,$Q$11,IF(O36=4,$Q$13,0)))))*24</f>
        <v>0</v>
      </c>
      <c r="AV36" s="0" t="n">
        <f aca="false">IF(P36=8,$AJ$17,IF(P36=1,$Q$7,IF(P36=2,$Q$9,IF(P36=3,$Q$11,IF(P36=4,$Q$13,0)))))*24</f>
        <v>0</v>
      </c>
      <c r="AW36" s="0" t="n">
        <f aca="false">IF(Q36=8,$AJ$17,IF(Q36=1,$Q$7,IF(Q36=2,$Q$9,IF(Q36=3,$Q$11,IF(Q36=4,$Q$13,0)))))*24</f>
        <v>0</v>
      </c>
      <c r="AX36" s="0" t="n">
        <f aca="false">IF(R36=8,$AJ$17,IF(R36=1,$Q$7,IF(R36=2,$Q$9,IF(R36=3,$Q$11,IF(R36=4,$Q$13,0)))))*24</f>
        <v>0</v>
      </c>
      <c r="AY36" s="0" t="n">
        <f aca="false">IF(S36=8,$AJ$17,IF(S36=1,$Q$7,IF(S36=2,$Q$9,IF(S36=3,$Q$11,IF(S36=4,$Q$13,0)))))*24</f>
        <v>0</v>
      </c>
      <c r="AZ36" s="0" t="n">
        <f aca="false">IF(T36=8,$AJ$17,IF(T36=1,$Q$7,IF(T36=2,$Q$9,IF(T36=3,$Q$11,IF(T36=4,$Q$13,0)))))*24</f>
        <v>0</v>
      </c>
      <c r="BA36" s="0" t="n">
        <f aca="false">IF(U36=8,$AJ$17,IF(U36=1,$Q$7,IF(U36=2,$Q$9,IF(U36=3,$Q$11,IF(U36=4,$Q$13,0)))))*24</f>
        <v>0</v>
      </c>
      <c r="BB36" s="0" t="n">
        <f aca="false">IF(V36=8,$AJ$17,IF(V36=1,$Q$7,IF(V36=2,$Q$9,IF(V36=3,$Q$11,IF(V36=4,$Q$13,0)))))*24</f>
        <v>0</v>
      </c>
      <c r="BC36" s="0" t="n">
        <f aca="false">IF(W36=8,$AJ$17,IF(W36=1,$Q$7,IF(W36=2,$Q$9,IF(W36=3,$Q$11,IF(W36=4,$Q$13,0)))))*24</f>
        <v>0</v>
      </c>
      <c r="BD36" s="0" t="n">
        <f aca="false">IF(X36=8,$AJ$17,IF(X36=1,$Q$7,IF(X36=2,$Q$9,IF(X36=3,$Q$11,IF(X36=4,$Q$13,0)))))*24</f>
        <v>0</v>
      </c>
      <c r="BE36" s="0" t="n">
        <f aca="false">IF(Y36=8,$AJ$17,IF(Y36=1,$Q$7,IF(Y36=2,$Q$9,IF(Y36=3,$Q$11,IF(Y36=4,$Q$13,0)))))*24</f>
        <v>0</v>
      </c>
      <c r="BF36" s="0" t="n">
        <f aca="false">IF(Z36=8,$AJ$17,IF(Z36=1,$Q$7,IF(Z36=2,$Q$9,IF(Z36=3,$Q$11,IF(Z36=4,$Q$13,0)))))*24</f>
        <v>0</v>
      </c>
      <c r="BG36" s="0" t="n">
        <f aca="false">IF(AA36=8,$AJ$17,IF(AA36=1,$Q$7,IF(AA36=2,$Q$9,IF(AA36=3,$Q$11,IF(AA36=4,$Q$13,0)))))*24</f>
        <v>0</v>
      </c>
      <c r="BH36" s="0" t="n">
        <f aca="false">IF(AB36=8,$AJ$17,IF(AB36=1,$Q$7,IF(AB36=2,$Q$9,IF(AB36=3,$Q$11,IF(AB36=4,$Q$13,0)))))*24</f>
        <v>0</v>
      </c>
      <c r="BI36" s="0" t="n">
        <f aca="false">IF(AC36=8,$AJ$17,IF(AC36=1,$Q$7,IF(AC36=2,$Q$9,IF(AC36=3,$Q$11,IF(AC36=4,$Q$13,0)))))*24</f>
        <v>0</v>
      </c>
      <c r="BJ36" s="0" t="n">
        <f aca="false">IF(AD36=8,$AJ$17,IF(AD36=1,$Q$7,IF(AD36=2,$Q$9,IF(AD36=3,$Q$11,IF(AD36=4,$Q$13,0)))))*24</f>
        <v>0</v>
      </c>
      <c r="BK36" s="0" t="n">
        <f aca="false">IF(AE36=8,$AJ$17,IF(AE36=1,$Q$7,IF(AE36=2,$Q$9,IF(AE36=3,$Q$11,IF(AE36=4,$Q$13,0)))))*24</f>
        <v>0</v>
      </c>
      <c r="BL36" s="0" t="n">
        <f aca="false">IF(AF36=8,$AJ$17,IF(AF36=1,$Q$7,IF(AF36=2,$Q$9,IF(AF36=3,$Q$11,IF(AF36=4,$Q$13,0)))))*24</f>
        <v>0</v>
      </c>
      <c r="BM36" s="0" t="n">
        <f aca="false">IF(AG36=8,$AJ$17,IF(AG36=1,$Q$7,IF(AG36=2,$Q$9,IF(AG36=3,$Q$11,IF(AG36=4,$Q$13,0)))))*24</f>
        <v>0</v>
      </c>
    </row>
    <row r="37" customFormat="false" ht="15" hidden="false" customHeight="true" outlineLevel="0" collapsed="false">
      <c r="B37" s="461"/>
      <c r="C37" s="524" t="n">
        <f aca="false">SUM(AJ37:BM37)</f>
        <v>0</v>
      </c>
      <c r="D37" s="518"/>
      <c r="E37" s="452"/>
      <c r="F37" s="452"/>
      <c r="G37" s="452"/>
      <c r="H37" s="452"/>
      <c r="I37" s="452"/>
      <c r="J37" s="452"/>
      <c r="K37" s="452"/>
      <c r="L37" s="452"/>
      <c r="M37" s="452"/>
      <c r="N37" s="452"/>
      <c r="O37" s="452"/>
      <c r="P37" s="452"/>
      <c r="Q37" s="452"/>
      <c r="R37" s="452"/>
      <c r="S37" s="452"/>
      <c r="T37" s="452"/>
      <c r="U37" s="452"/>
      <c r="V37" s="452"/>
      <c r="W37" s="452"/>
      <c r="X37" s="452"/>
      <c r="Y37" s="452"/>
      <c r="Z37" s="452"/>
      <c r="AA37" s="452"/>
      <c r="AB37" s="452"/>
      <c r="AC37" s="452"/>
      <c r="AD37" s="452"/>
      <c r="AE37" s="452"/>
      <c r="AF37" s="452"/>
      <c r="AG37" s="520"/>
      <c r="AJ37" s="0" t="n">
        <f aca="false">IF(D37=8,$AJ$17,IF(D37=1,$Q$7,IF(D37=2,$Q$9,IF(D37=3,$Q$11,IF(D37=4,$Q$13,0)))))*24</f>
        <v>0</v>
      </c>
      <c r="AK37" s="0" t="n">
        <f aca="false">IF(E37=8,$AJ$17,IF(E37=1,$Q$7,IF(E37=2,$Q$9,IF(E37=3,$Q$11,IF(E37=4,$Q$13,0)))))*24</f>
        <v>0</v>
      </c>
      <c r="AL37" s="0" t="n">
        <f aca="false">IF(F37=8,$AJ$17,IF(F37=1,$Q$7,IF(F37=2,$Q$9,IF(F37=3,$Q$11,IF(F37=4,$Q$13,0)))))*24</f>
        <v>0</v>
      </c>
      <c r="AM37" s="0" t="n">
        <f aca="false">IF(G37=8,$AJ$17,IF(G37=1,$Q$7,IF(G37=2,$Q$9,IF(G37=3,$Q$11,IF(G37=4,$Q$13,0)))))*24</f>
        <v>0</v>
      </c>
      <c r="AN37" s="0" t="n">
        <f aca="false">IF(H37=8,$AJ$17,IF(H37=1,$Q$7,IF(H37=2,$Q$9,IF(H37=3,$Q$11,IF(H37=4,$Q$13,0)))))*24</f>
        <v>0</v>
      </c>
      <c r="AO37" s="0" t="n">
        <f aca="false">IF(I37=8,$AJ$17,IF(I37=1,$Q$7,IF(I37=2,$Q$9,IF(I37=3,$Q$11,IF(I37=4,$Q$13,0)))))*24</f>
        <v>0</v>
      </c>
      <c r="AP37" s="0" t="n">
        <f aca="false">IF(J37=8,$AJ$17,IF(J37=1,$Q$7,IF(J37=2,$Q$9,IF(J37=3,$Q$11,IF(J37=4,$Q$13,0)))))*24</f>
        <v>0</v>
      </c>
      <c r="AQ37" s="0" t="n">
        <f aca="false">IF(K37=8,$AJ$17,IF(K37=1,$Q$7,IF(K37=2,$Q$9,IF(K37=3,$Q$11,IF(K37=4,$Q$13,0)))))*24</f>
        <v>0</v>
      </c>
      <c r="AR37" s="0" t="n">
        <f aca="false">IF(L37=8,$AJ$17,IF(L37=1,$Q$7,IF(L37=2,$Q$9,IF(L37=3,$Q$11,IF(L37=4,$Q$13,0)))))*24</f>
        <v>0</v>
      </c>
      <c r="AS37" s="0" t="n">
        <f aca="false">IF(M37=8,$AJ$17,IF(M37=1,$Q$7,IF(M37=2,$Q$9,IF(M37=3,$Q$11,IF(M37=4,$Q$13,0)))))*24</f>
        <v>0</v>
      </c>
      <c r="AT37" s="0" t="n">
        <f aca="false">IF(N37=8,$AJ$17,IF(N37=1,$Q$7,IF(N37=2,$Q$9,IF(N37=3,$Q$11,IF(N37=4,$Q$13,0)))))*24</f>
        <v>0</v>
      </c>
      <c r="AU37" s="0" t="n">
        <f aca="false">IF(O37=8,$AJ$17,IF(O37=1,$Q$7,IF(O37=2,$Q$9,IF(O37=3,$Q$11,IF(O37=4,$Q$13,0)))))*24</f>
        <v>0</v>
      </c>
      <c r="AV37" s="0" t="n">
        <f aca="false">IF(P37=8,$AJ$17,IF(P37=1,$Q$7,IF(P37=2,$Q$9,IF(P37=3,$Q$11,IF(P37=4,$Q$13,0)))))*24</f>
        <v>0</v>
      </c>
      <c r="AW37" s="0" t="n">
        <f aca="false">IF(Q37=8,$AJ$17,IF(Q37=1,$Q$7,IF(Q37=2,$Q$9,IF(Q37=3,$Q$11,IF(Q37=4,$Q$13,0)))))*24</f>
        <v>0</v>
      </c>
      <c r="AX37" s="0" t="n">
        <f aca="false">IF(R37=8,$AJ$17,IF(R37=1,$Q$7,IF(R37=2,$Q$9,IF(R37=3,$Q$11,IF(R37=4,$Q$13,0)))))*24</f>
        <v>0</v>
      </c>
      <c r="AY37" s="0" t="n">
        <f aca="false">IF(S37=8,$AJ$17,IF(S37=1,$Q$7,IF(S37=2,$Q$9,IF(S37=3,$Q$11,IF(S37=4,$Q$13,0)))))*24</f>
        <v>0</v>
      </c>
      <c r="AZ37" s="0" t="n">
        <f aca="false">IF(T37=8,$AJ$17,IF(T37=1,$Q$7,IF(T37=2,$Q$9,IF(T37=3,$Q$11,IF(T37=4,$Q$13,0)))))*24</f>
        <v>0</v>
      </c>
      <c r="BA37" s="0" t="n">
        <f aca="false">IF(U37=8,$AJ$17,IF(U37=1,$Q$7,IF(U37=2,$Q$9,IF(U37=3,$Q$11,IF(U37=4,$Q$13,0)))))*24</f>
        <v>0</v>
      </c>
      <c r="BB37" s="0" t="n">
        <f aca="false">IF(V37=8,$AJ$17,IF(V37=1,$Q$7,IF(V37=2,$Q$9,IF(V37=3,$Q$11,IF(V37=4,$Q$13,0)))))*24</f>
        <v>0</v>
      </c>
      <c r="BC37" s="0" t="n">
        <f aca="false">IF(W37=8,$AJ$17,IF(W37=1,$Q$7,IF(W37=2,$Q$9,IF(W37=3,$Q$11,IF(W37=4,$Q$13,0)))))*24</f>
        <v>0</v>
      </c>
      <c r="BD37" s="0" t="n">
        <f aca="false">IF(X37=8,$AJ$17,IF(X37=1,$Q$7,IF(X37=2,$Q$9,IF(X37=3,$Q$11,IF(X37=4,$Q$13,0)))))*24</f>
        <v>0</v>
      </c>
      <c r="BE37" s="0" t="n">
        <f aca="false">IF(Y37=8,$AJ$17,IF(Y37=1,$Q$7,IF(Y37=2,$Q$9,IF(Y37=3,$Q$11,IF(Y37=4,$Q$13,0)))))*24</f>
        <v>0</v>
      </c>
      <c r="BF37" s="0" t="n">
        <f aca="false">IF(Z37=8,$AJ$17,IF(Z37=1,$Q$7,IF(Z37=2,$Q$9,IF(Z37=3,$Q$11,IF(Z37=4,$Q$13,0)))))*24</f>
        <v>0</v>
      </c>
      <c r="BG37" s="0" t="n">
        <f aca="false">IF(AA37=8,$AJ$17,IF(AA37=1,$Q$7,IF(AA37=2,$Q$9,IF(AA37=3,$Q$11,IF(AA37=4,$Q$13,0)))))*24</f>
        <v>0</v>
      </c>
      <c r="BH37" s="0" t="n">
        <f aca="false">IF(AB37=8,$AJ$17,IF(AB37=1,$Q$7,IF(AB37=2,$Q$9,IF(AB37=3,$Q$11,IF(AB37=4,$Q$13,0)))))*24</f>
        <v>0</v>
      </c>
      <c r="BI37" s="0" t="n">
        <f aca="false">IF(AC37=8,$AJ$17,IF(AC37=1,$Q$7,IF(AC37=2,$Q$9,IF(AC37=3,$Q$11,IF(AC37=4,$Q$13,0)))))*24</f>
        <v>0</v>
      </c>
      <c r="BJ37" s="0" t="n">
        <f aca="false">IF(AD37=8,$AJ$17,IF(AD37=1,$Q$7,IF(AD37=2,$Q$9,IF(AD37=3,$Q$11,IF(AD37=4,$Q$13,0)))))*24</f>
        <v>0</v>
      </c>
      <c r="BK37" s="0" t="n">
        <f aca="false">IF(AE37=8,$AJ$17,IF(AE37=1,$Q$7,IF(AE37=2,$Q$9,IF(AE37=3,$Q$11,IF(AE37=4,$Q$13,0)))))*24</f>
        <v>0</v>
      </c>
      <c r="BL37" s="0" t="n">
        <f aca="false">IF(AF37=8,$AJ$17,IF(AF37=1,$Q$7,IF(AF37=2,$Q$9,IF(AF37=3,$Q$11,IF(AF37=4,$Q$13,0)))))*24</f>
        <v>0</v>
      </c>
      <c r="BM37" s="0" t="n">
        <f aca="false">IF(AG37=8,$AJ$17,IF(AG37=1,$Q$7,IF(AG37=2,$Q$9,IF(AG37=3,$Q$11,IF(AG37=4,$Q$13,0)))))*24</f>
        <v>0</v>
      </c>
    </row>
    <row r="38" customFormat="false" ht="15" hidden="false" customHeight="true" outlineLevel="0" collapsed="false">
      <c r="B38" s="461"/>
      <c r="C38" s="524" t="n">
        <f aca="false">SUM(AJ38:BM38)</f>
        <v>0</v>
      </c>
      <c r="D38" s="518"/>
      <c r="E38" s="452"/>
      <c r="F38" s="452"/>
      <c r="G38" s="452"/>
      <c r="H38" s="452"/>
      <c r="I38" s="452"/>
      <c r="J38" s="452"/>
      <c r="K38" s="452"/>
      <c r="L38" s="452"/>
      <c r="M38" s="452"/>
      <c r="N38" s="452"/>
      <c r="O38" s="452"/>
      <c r="P38" s="452"/>
      <c r="Q38" s="452"/>
      <c r="R38" s="452"/>
      <c r="S38" s="452"/>
      <c r="T38" s="452"/>
      <c r="U38" s="452"/>
      <c r="V38" s="452"/>
      <c r="W38" s="452"/>
      <c r="X38" s="452"/>
      <c r="Y38" s="452"/>
      <c r="Z38" s="452"/>
      <c r="AA38" s="452"/>
      <c r="AB38" s="452"/>
      <c r="AC38" s="452"/>
      <c r="AD38" s="452"/>
      <c r="AE38" s="452"/>
      <c r="AF38" s="452"/>
      <c r="AG38" s="520"/>
      <c r="AJ38" s="0" t="n">
        <f aca="false">IF(D38=8,$AJ$17,IF(D38=1,$Q$7,IF(D38=2,$Q$9,IF(D38=3,$Q$11,IF(D38=4,$Q$13,0)))))*24</f>
        <v>0</v>
      </c>
      <c r="AK38" s="0" t="n">
        <f aca="false">IF(E38=8,$AJ$17,IF(E38=1,$Q$7,IF(E38=2,$Q$9,IF(E38=3,$Q$11,IF(E38=4,$Q$13,0)))))*24</f>
        <v>0</v>
      </c>
      <c r="AL38" s="0" t="n">
        <f aca="false">IF(F38=8,$AJ$17,IF(F38=1,$Q$7,IF(F38=2,$Q$9,IF(F38=3,$Q$11,IF(F38=4,$Q$13,0)))))*24</f>
        <v>0</v>
      </c>
      <c r="AM38" s="0" t="n">
        <f aca="false">IF(G38=8,$AJ$17,IF(G38=1,$Q$7,IF(G38=2,$Q$9,IF(G38=3,$Q$11,IF(G38=4,$Q$13,0)))))*24</f>
        <v>0</v>
      </c>
      <c r="AN38" s="0" t="n">
        <f aca="false">IF(H38=8,$AJ$17,IF(H38=1,$Q$7,IF(H38=2,$Q$9,IF(H38=3,$Q$11,IF(H38=4,$Q$13,0)))))*24</f>
        <v>0</v>
      </c>
      <c r="AO38" s="0" t="n">
        <f aca="false">IF(I38=8,$AJ$17,IF(I38=1,$Q$7,IF(I38=2,$Q$9,IF(I38=3,$Q$11,IF(I38=4,$Q$13,0)))))*24</f>
        <v>0</v>
      </c>
      <c r="AP38" s="0" t="n">
        <f aca="false">IF(J38=8,$AJ$17,IF(J38=1,$Q$7,IF(J38=2,$Q$9,IF(J38=3,$Q$11,IF(J38=4,$Q$13,0)))))*24</f>
        <v>0</v>
      </c>
      <c r="AQ38" s="0" t="n">
        <f aca="false">IF(K38=8,$AJ$17,IF(K38=1,$Q$7,IF(K38=2,$Q$9,IF(K38=3,$Q$11,IF(K38=4,$Q$13,0)))))*24</f>
        <v>0</v>
      </c>
      <c r="AR38" s="0" t="n">
        <f aca="false">IF(L38=8,$AJ$17,IF(L38=1,$Q$7,IF(L38=2,$Q$9,IF(L38=3,$Q$11,IF(L38=4,$Q$13,0)))))*24</f>
        <v>0</v>
      </c>
      <c r="AS38" s="0" t="n">
        <f aca="false">IF(M38=8,$AJ$17,IF(M38=1,$Q$7,IF(M38=2,$Q$9,IF(M38=3,$Q$11,IF(M38=4,$Q$13,0)))))*24</f>
        <v>0</v>
      </c>
      <c r="AT38" s="0" t="n">
        <f aca="false">IF(N38=8,$AJ$17,IF(N38=1,$Q$7,IF(N38=2,$Q$9,IF(N38=3,$Q$11,IF(N38=4,$Q$13,0)))))*24</f>
        <v>0</v>
      </c>
      <c r="AU38" s="0" t="n">
        <f aca="false">IF(O38=8,$AJ$17,IF(O38=1,$Q$7,IF(O38=2,$Q$9,IF(O38=3,$Q$11,IF(O38=4,$Q$13,0)))))*24</f>
        <v>0</v>
      </c>
      <c r="AV38" s="0" t="n">
        <f aca="false">IF(P38=8,$AJ$17,IF(P38=1,$Q$7,IF(P38=2,$Q$9,IF(P38=3,$Q$11,IF(P38=4,$Q$13,0)))))*24</f>
        <v>0</v>
      </c>
      <c r="AW38" s="0" t="n">
        <f aca="false">IF(Q38=8,$AJ$17,IF(Q38=1,$Q$7,IF(Q38=2,$Q$9,IF(Q38=3,$Q$11,IF(Q38=4,$Q$13,0)))))*24</f>
        <v>0</v>
      </c>
      <c r="AX38" s="0" t="n">
        <f aca="false">IF(R38=8,$AJ$17,IF(R38=1,$Q$7,IF(R38=2,$Q$9,IF(R38=3,$Q$11,IF(R38=4,$Q$13,0)))))*24</f>
        <v>0</v>
      </c>
      <c r="AY38" s="0" t="n">
        <f aca="false">IF(S38=8,$AJ$17,IF(S38=1,$Q$7,IF(S38=2,$Q$9,IF(S38=3,$Q$11,IF(S38=4,$Q$13,0)))))*24</f>
        <v>0</v>
      </c>
      <c r="AZ38" s="0" t="n">
        <f aca="false">IF(T38=8,$AJ$17,IF(T38=1,$Q$7,IF(T38=2,$Q$9,IF(T38=3,$Q$11,IF(T38=4,$Q$13,0)))))*24</f>
        <v>0</v>
      </c>
      <c r="BA38" s="0" t="n">
        <f aca="false">IF(U38=8,$AJ$17,IF(U38=1,$Q$7,IF(U38=2,$Q$9,IF(U38=3,$Q$11,IF(U38=4,$Q$13,0)))))*24</f>
        <v>0</v>
      </c>
      <c r="BB38" s="0" t="n">
        <f aca="false">IF(V38=8,$AJ$17,IF(V38=1,$Q$7,IF(V38=2,$Q$9,IF(V38=3,$Q$11,IF(V38=4,$Q$13,0)))))*24</f>
        <v>0</v>
      </c>
      <c r="BC38" s="0" t="n">
        <f aca="false">IF(W38=8,$AJ$17,IF(W38=1,$Q$7,IF(W38=2,$Q$9,IF(W38=3,$Q$11,IF(W38=4,$Q$13,0)))))*24</f>
        <v>0</v>
      </c>
      <c r="BD38" s="0" t="n">
        <f aca="false">IF(X38=8,$AJ$17,IF(X38=1,$Q$7,IF(X38=2,$Q$9,IF(X38=3,$Q$11,IF(X38=4,$Q$13,0)))))*24</f>
        <v>0</v>
      </c>
      <c r="BE38" s="0" t="n">
        <f aca="false">IF(Y38=8,$AJ$17,IF(Y38=1,$Q$7,IF(Y38=2,$Q$9,IF(Y38=3,$Q$11,IF(Y38=4,$Q$13,0)))))*24</f>
        <v>0</v>
      </c>
      <c r="BF38" s="0" t="n">
        <f aca="false">IF(Z38=8,$AJ$17,IF(Z38=1,$Q$7,IF(Z38=2,$Q$9,IF(Z38=3,$Q$11,IF(Z38=4,$Q$13,0)))))*24</f>
        <v>0</v>
      </c>
      <c r="BG38" s="0" t="n">
        <f aca="false">IF(AA38=8,$AJ$17,IF(AA38=1,$Q$7,IF(AA38=2,$Q$9,IF(AA38=3,$Q$11,IF(AA38=4,$Q$13,0)))))*24</f>
        <v>0</v>
      </c>
      <c r="BH38" s="0" t="n">
        <f aca="false">IF(AB38=8,$AJ$17,IF(AB38=1,$Q$7,IF(AB38=2,$Q$9,IF(AB38=3,$Q$11,IF(AB38=4,$Q$13,0)))))*24</f>
        <v>0</v>
      </c>
      <c r="BI38" s="0" t="n">
        <f aca="false">IF(AC38=8,$AJ$17,IF(AC38=1,$Q$7,IF(AC38=2,$Q$9,IF(AC38=3,$Q$11,IF(AC38=4,$Q$13,0)))))*24</f>
        <v>0</v>
      </c>
      <c r="BJ38" s="0" t="n">
        <f aca="false">IF(AD38=8,$AJ$17,IF(AD38=1,$Q$7,IF(AD38=2,$Q$9,IF(AD38=3,$Q$11,IF(AD38=4,$Q$13,0)))))*24</f>
        <v>0</v>
      </c>
      <c r="BK38" s="0" t="n">
        <f aca="false">IF(AE38=8,$AJ$17,IF(AE38=1,$Q$7,IF(AE38=2,$Q$9,IF(AE38=3,$Q$11,IF(AE38=4,$Q$13,0)))))*24</f>
        <v>0</v>
      </c>
      <c r="BL38" s="0" t="n">
        <f aca="false">IF(AF38=8,$AJ$17,IF(AF38=1,$Q$7,IF(AF38=2,$Q$9,IF(AF38=3,$Q$11,IF(AF38=4,$Q$13,0)))))*24</f>
        <v>0</v>
      </c>
      <c r="BM38" s="0" t="n">
        <f aca="false">IF(AG38=8,$AJ$17,IF(AG38=1,$Q$7,IF(AG38=2,$Q$9,IF(AG38=3,$Q$11,IF(AG38=4,$Q$13,0)))))*24</f>
        <v>0</v>
      </c>
    </row>
    <row r="39" customFormat="false" ht="15" hidden="false" customHeight="true" outlineLevel="0" collapsed="false">
      <c r="B39" s="461"/>
      <c r="C39" s="524" t="n">
        <f aca="false">SUM(AJ39:BM39)</f>
        <v>0</v>
      </c>
      <c r="D39" s="518"/>
      <c r="E39" s="452"/>
      <c r="F39" s="452"/>
      <c r="G39" s="452"/>
      <c r="H39" s="452"/>
      <c r="I39" s="452"/>
      <c r="J39" s="452"/>
      <c r="K39" s="452"/>
      <c r="L39" s="452"/>
      <c r="M39" s="452"/>
      <c r="N39" s="452"/>
      <c r="O39" s="452"/>
      <c r="P39" s="452"/>
      <c r="Q39" s="452"/>
      <c r="R39" s="452"/>
      <c r="S39" s="452"/>
      <c r="T39" s="452"/>
      <c r="U39" s="452"/>
      <c r="V39" s="452"/>
      <c r="W39" s="452"/>
      <c r="X39" s="452"/>
      <c r="Y39" s="452"/>
      <c r="Z39" s="452"/>
      <c r="AA39" s="452"/>
      <c r="AB39" s="452"/>
      <c r="AC39" s="452"/>
      <c r="AD39" s="452"/>
      <c r="AE39" s="452"/>
      <c r="AF39" s="452"/>
      <c r="AG39" s="520"/>
      <c r="AJ39" s="0" t="n">
        <f aca="false">IF(D39=8,$AJ$17,IF(D39=1,$Q$7,IF(D39=2,$Q$9,IF(D39=3,$Q$11,IF(D39=4,$Q$13,0)))))*24</f>
        <v>0</v>
      </c>
      <c r="AK39" s="0" t="n">
        <f aca="false">IF(E39=8,$AJ$17,IF(E39=1,$Q$7,IF(E39=2,$Q$9,IF(E39=3,$Q$11,IF(E39=4,$Q$13,0)))))*24</f>
        <v>0</v>
      </c>
      <c r="AL39" s="0" t="n">
        <f aca="false">IF(F39=8,$AJ$17,IF(F39=1,$Q$7,IF(F39=2,$Q$9,IF(F39=3,$Q$11,IF(F39=4,$Q$13,0)))))*24</f>
        <v>0</v>
      </c>
      <c r="AM39" s="0" t="n">
        <f aca="false">IF(G39=8,$AJ$17,IF(G39=1,$Q$7,IF(G39=2,$Q$9,IF(G39=3,$Q$11,IF(G39=4,$Q$13,0)))))*24</f>
        <v>0</v>
      </c>
      <c r="AN39" s="0" t="n">
        <f aca="false">IF(H39=8,$AJ$17,IF(H39=1,$Q$7,IF(H39=2,$Q$9,IF(H39=3,$Q$11,IF(H39=4,$Q$13,0)))))*24</f>
        <v>0</v>
      </c>
      <c r="AO39" s="0" t="n">
        <f aca="false">IF(I39=8,$AJ$17,IF(I39=1,$Q$7,IF(I39=2,$Q$9,IF(I39=3,$Q$11,IF(I39=4,$Q$13,0)))))*24</f>
        <v>0</v>
      </c>
      <c r="AP39" s="0" t="n">
        <f aca="false">IF(J39=8,$AJ$17,IF(J39=1,$Q$7,IF(J39=2,$Q$9,IF(J39=3,$Q$11,IF(J39=4,$Q$13,0)))))*24</f>
        <v>0</v>
      </c>
      <c r="AQ39" s="0" t="n">
        <f aca="false">IF(K39=8,$AJ$17,IF(K39=1,$Q$7,IF(K39=2,$Q$9,IF(K39=3,$Q$11,IF(K39=4,$Q$13,0)))))*24</f>
        <v>0</v>
      </c>
      <c r="AR39" s="0" t="n">
        <f aca="false">IF(L39=8,$AJ$17,IF(L39=1,$Q$7,IF(L39=2,$Q$9,IF(L39=3,$Q$11,IF(L39=4,$Q$13,0)))))*24</f>
        <v>0</v>
      </c>
      <c r="AS39" s="0" t="n">
        <f aca="false">IF(M39=8,$AJ$17,IF(M39=1,$Q$7,IF(M39=2,$Q$9,IF(M39=3,$Q$11,IF(M39=4,$Q$13,0)))))*24</f>
        <v>0</v>
      </c>
      <c r="AT39" s="0" t="n">
        <f aca="false">IF(N39=8,$AJ$17,IF(N39=1,$Q$7,IF(N39=2,$Q$9,IF(N39=3,$Q$11,IF(N39=4,$Q$13,0)))))*24</f>
        <v>0</v>
      </c>
      <c r="AU39" s="0" t="n">
        <f aca="false">IF(O39=8,$AJ$17,IF(O39=1,$Q$7,IF(O39=2,$Q$9,IF(O39=3,$Q$11,IF(O39=4,$Q$13,0)))))*24</f>
        <v>0</v>
      </c>
      <c r="AV39" s="0" t="n">
        <f aca="false">IF(P39=8,$AJ$17,IF(P39=1,$Q$7,IF(P39=2,$Q$9,IF(P39=3,$Q$11,IF(P39=4,$Q$13,0)))))*24</f>
        <v>0</v>
      </c>
      <c r="AW39" s="0" t="n">
        <f aca="false">IF(Q39=8,$AJ$17,IF(Q39=1,$Q$7,IF(Q39=2,$Q$9,IF(Q39=3,$Q$11,IF(Q39=4,$Q$13,0)))))*24</f>
        <v>0</v>
      </c>
      <c r="AX39" s="0" t="n">
        <f aca="false">IF(R39=8,$AJ$17,IF(R39=1,$Q$7,IF(R39=2,$Q$9,IF(R39=3,$Q$11,IF(R39=4,$Q$13,0)))))*24</f>
        <v>0</v>
      </c>
      <c r="AY39" s="0" t="n">
        <f aca="false">IF(S39=8,$AJ$17,IF(S39=1,$Q$7,IF(S39=2,$Q$9,IF(S39=3,$Q$11,IF(S39=4,$Q$13,0)))))*24</f>
        <v>0</v>
      </c>
      <c r="AZ39" s="0" t="n">
        <f aca="false">IF(T39=8,$AJ$17,IF(T39=1,$Q$7,IF(T39=2,$Q$9,IF(T39=3,$Q$11,IF(T39=4,$Q$13,0)))))*24</f>
        <v>0</v>
      </c>
      <c r="BA39" s="0" t="n">
        <f aca="false">IF(U39=8,$AJ$17,IF(U39=1,$Q$7,IF(U39=2,$Q$9,IF(U39=3,$Q$11,IF(U39=4,$Q$13,0)))))*24</f>
        <v>0</v>
      </c>
      <c r="BB39" s="0" t="n">
        <f aca="false">IF(V39=8,$AJ$17,IF(V39=1,$Q$7,IF(V39=2,$Q$9,IF(V39=3,$Q$11,IF(V39=4,$Q$13,0)))))*24</f>
        <v>0</v>
      </c>
      <c r="BC39" s="0" t="n">
        <f aca="false">IF(W39=8,$AJ$17,IF(W39=1,$Q$7,IF(W39=2,$Q$9,IF(W39=3,$Q$11,IF(W39=4,$Q$13,0)))))*24</f>
        <v>0</v>
      </c>
      <c r="BD39" s="0" t="n">
        <f aca="false">IF(X39=8,$AJ$17,IF(X39=1,$Q$7,IF(X39=2,$Q$9,IF(X39=3,$Q$11,IF(X39=4,$Q$13,0)))))*24</f>
        <v>0</v>
      </c>
      <c r="BE39" s="0" t="n">
        <f aca="false">IF(Y39=8,$AJ$17,IF(Y39=1,$Q$7,IF(Y39=2,$Q$9,IF(Y39=3,$Q$11,IF(Y39=4,$Q$13,0)))))*24</f>
        <v>0</v>
      </c>
      <c r="BF39" s="0" t="n">
        <f aca="false">IF(Z39=8,$AJ$17,IF(Z39=1,$Q$7,IF(Z39=2,$Q$9,IF(Z39=3,$Q$11,IF(Z39=4,$Q$13,0)))))*24</f>
        <v>0</v>
      </c>
      <c r="BG39" s="0" t="n">
        <f aca="false">IF(AA39=8,$AJ$17,IF(AA39=1,$Q$7,IF(AA39=2,$Q$9,IF(AA39=3,$Q$11,IF(AA39=4,$Q$13,0)))))*24</f>
        <v>0</v>
      </c>
      <c r="BH39" s="0" t="n">
        <f aca="false">IF(AB39=8,$AJ$17,IF(AB39=1,$Q$7,IF(AB39=2,$Q$9,IF(AB39=3,$Q$11,IF(AB39=4,$Q$13,0)))))*24</f>
        <v>0</v>
      </c>
      <c r="BI39" s="0" t="n">
        <f aca="false">IF(AC39=8,$AJ$17,IF(AC39=1,$Q$7,IF(AC39=2,$Q$9,IF(AC39=3,$Q$11,IF(AC39=4,$Q$13,0)))))*24</f>
        <v>0</v>
      </c>
      <c r="BJ39" s="0" t="n">
        <f aca="false">IF(AD39=8,$AJ$17,IF(AD39=1,$Q$7,IF(AD39=2,$Q$9,IF(AD39=3,$Q$11,IF(AD39=4,$Q$13,0)))))*24</f>
        <v>0</v>
      </c>
      <c r="BK39" s="0" t="n">
        <f aca="false">IF(AE39=8,$AJ$17,IF(AE39=1,$Q$7,IF(AE39=2,$Q$9,IF(AE39=3,$Q$11,IF(AE39=4,$Q$13,0)))))*24</f>
        <v>0</v>
      </c>
      <c r="BL39" s="0" t="n">
        <f aca="false">IF(AF39=8,$AJ$17,IF(AF39=1,$Q$7,IF(AF39=2,$Q$9,IF(AF39=3,$Q$11,IF(AF39=4,$Q$13,0)))))*24</f>
        <v>0</v>
      </c>
      <c r="BM39" s="0" t="n">
        <f aca="false">IF(AG39=8,$AJ$17,IF(AG39=1,$Q$7,IF(AG39=2,$Q$9,IF(AG39=3,$Q$11,IF(AG39=4,$Q$13,0)))))*24</f>
        <v>0</v>
      </c>
    </row>
    <row r="40" customFormat="false" ht="15" hidden="false" customHeight="true" outlineLevel="0" collapsed="false">
      <c r="B40" s="461"/>
      <c r="C40" s="524" t="n">
        <f aca="false">SUM(AJ40:BM40)</f>
        <v>0</v>
      </c>
      <c r="D40" s="518"/>
      <c r="E40" s="452"/>
      <c r="F40" s="452"/>
      <c r="G40" s="452"/>
      <c r="H40" s="452"/>
      <c r="I40" s="452"/>
      <c r="J40" s="452"/>
      <c r="K40" s="452"/>
      <c r="L40" s="452"/>
      <c r="M40" s="452"/>
      <c r="N40" s="452"/>
      <c r="O40" s="452"/>
      <c r="P40" s="452"/>
      <c r="Q40" s="452"/>
      <c r="R40" s="452"/>
      <c r="S40" s="452"/>
      <c r="T40" s="452"/>
      <c r="U40" s="452"/>
      <c r="V40" s="452"/>
      <c r="W40" s="452"/>
      <c r="X40" s="452"/>
      <c r="Y40" s="452"/>
      <c r="Z40" s="452"/>
      <c r="AA40" s="452"/>
      <c r="AB40" s="452"/>
      <c r="AC40" s="452"/>
      <c r="AD40" s="452"/>
      <c r="AE40" s="452"/>
      <c r="AF40" s="452"/>
      <c r="AG40" s="520"/>
      <c r="AJ40" s="0" t="n">
        <f aca="false">IF(D40=8,$AJ$17,IF(D40=1,$Q$7,IF(D40=2,$Q$9,IF(D40=3,$Q$11,IF(D40=4,$Q$13,0)))))*24</f>
        <v>0</v>
      </c>
      <c r="AK40" s="0" t="n">
        <f aca="false">IF(E40=8,$AJ$17,IF(E40=1,$Q$7,IF(E40=2,$Q$9,IF(E40=3,$Q$11,IF(E40=4,$Q$13,0)))))*24</f>
        <v>0</v>
      </c>
      <c r="AL40" s="0" t="n">
        <f aca="false">IF(F40=8,$AJ$17,IF(F40=1,$Q$7,IF(F40=2,$Q$9,IF(F40=3,$Q$11,IF(F40=4,$Q$13,0)))))*24</f>
        <v>0</v>
      </c>
      <c r="AM40" s="0" t="n">
        <f aca="false">IF(G40=8,$AJ$17,IF(G40=1,$Q$7,IF(G40=2,$Q$9,IF(G40=3,$Q$11,IF(G40=4,$Q$13,0)))))*24</f>
        <v>0</v>
      </c>
      <c r="AN40" s="0" t="n">
        <f aca="false">IF(H40=8,$AJ$17,IF(H40=1,$Q$7,IF(H40=2,$Q$9,IF(H40=3,$Q$11,IF(H40=4,$Q$13,0)))))*24</f>
        <v>0</v>
      </c>
      <c r="AO40" s="0" t="n">
        <f aca="false">IF(I40=8,$AJ$17,IF(I40=1,$Q$7,IF(I40=2,$Q$9,IF(I40=3,$Q$11,IF(I40=4,$Q$13,0)))))*24</f>
        <v>0</v>
      </c>
      <c r="AP40" s="0" t="n">
        <f aca="false">IF(J40=8,$AJ$17,IF(J40=1,$Q$7,IF(J40=2,$Q$9,IF(J40=3,$Q$11,IF(J40=4,$Q$13,0)))))*24</f>
        <v>0</v>
      </c>
      <c r="AQ40" s="0" t="n">
        <f aca="false">IF(K40=8,$AJ$17,IF(K40=1,$Q$7,IF(K40=2,$Q$9,IF(K40=3,$Q$11,IF(K40=4,$Q$13,0)))))*24</f>
        <v>0</v>
      </c>
      <c r="AR40" s="0" t="n">
        <f aca="false">IF(L40=8,$AJ$17,IF(L40=1,$Q$7,IF(L40=2,$Q$9,IF(L40=3,$Q$11,IF(L40=4,$Q$13,0)))))*24</f>
        <v>0</v>
      </c>
      <c r="AS40" s="0" t="n">
        <f aca="false">IF(M40=8,$AJ$17,IF(M40=1,$Q$7,IF(M40=2,$Q$9,IF(M40=3,$Q$11,IF(M40=4,$Q$13,0)))))*24</f>
        <v>0</v>
      </c>
      <c r="AT40" s="0" t="n">
        <f aca="false">IF(N40=8,$AJ$17,IF(N40=1,$Q$7,IF(N40=2,$Q$9,IF(N40=3,$Q$11,IF(N40=4,$Q$13,0)))))*24</f>
        <v>0</v>
      </c>
      <c r="AU40" s="0" t="n">
        <f aca="false">IF(O40=8,$AJ$17,IF(O40=1,$Q$7,IF(O40=2,$Q$9,IF(O40=3,$Q$11,IF(O40=4,$Q$13,0)))))*24</f>
        <v>0</v>
      </c>
      <c r="AV40" s="0" t="n">
        <f aca="false">IF(P40=8,$AJ$17,IF(P40=1,$Q$7,IF(P40=2,$Q$9,IF(P40=3,$Q$11,IF(P40=4,$Q$13,0)))))*24</f>
        <v>0</v>
      </c>
      <c r="AW40" s="0" t="n">
        <f aca="false">IF(Q40=8,$AJ$17,IF(Q40=1,$Q$7,IF(Q40=2,$Q$9,IF(Q40=3,$Q$11,IF(Q40=4,$Q$13,0)))))*24</f>
        <v>0</v>
      </c>
      <c r="AX40" s="0" t="n">
        <f aca="false">IF(R40=8,$AJ$17,IF(R40=1,$Q$7,IF(R40=2,$Q$9,IF(R40=3,$Q$11,IF(R40=4,$Q$13,0)))))*24</f>
        <v>0</v>
      </c>
      <c r="AY40" s="0" t="n">
        <f aca="false">IF(S40=8,$AJ$17,IF(S40=1,$Q$7,IF(S40=2,$Q$9,IF(S40=3,$Q$11,IF(S40=4,$Q$13,0)))))*24</f>
        <v>0</v>
      </c>
      <c r="AZ40" s="0" t="n">
        <f aca="false">IF(T40=8,$AJ$17,IF(T40=1,$Q$7,IF(T40=2,$Q$9,IF(T40=3,$Q$11,IF(T40=4,$Q$13,0)))))*24</f>
        <v>0</v>
      </c>
      <c r="BA40" s="0" t="n">
        <f aca="false">IF(U40=8,$AJ$17,IF(U40=1,$Q$7,IF(U40=2,$Q$9,IF(U40=3,$Q$11,IF(U40=4,$Q$13,0)))))*24</f>
        <v>0</v>
      </c>
      <c r="BB40" s="0" t="n">
        <f aca="false">IF(V40=8,$AJ$17,IF(V40=1,$Q$7,IF(V40=2,$Q$9,IF(V40=3,$Q$11,IF(V40=4,$Q$13,0)))))*24</f>
        <v>0</v>
      </c>
      <c r="BC40" s="0" t="n">
        <f aca="false">IF(W40=8,$AJ$17,IF(W40=1,$Q$7,IF(W40=2,$Q$9,IF(W40=3,$Q$11,IF(W40=4,$Q$13,0)))))*24</f>
        <v>0</v>
      </c>
      <c r="BD40" s="0" t="n">
        <f aca="false">IF(X40=8,$AJ$17,IF(X40=1,$Q$7,IF(X40=2,$Q$9,IF(X40=3,$Q$11,IF(X40=4,$Q$13,0)))))*24</f>
        <v>0</v>
      </c>
      <c r="BE40" s="0" t="n">
        <f aca="false">IF(Y40=8,$AJ$17,IF(Y40=1,$Q$7,IF(Y40=2,$Q$9,IF(Y40=3,$Q$11,IF(Y40=4,$Q$13,0)))))*24</f>
        <v>0</v>
      </c>
      <c r="BF40" s="0" t="n">
        <f aca="false">IF(Z40=8,$AJ$17,IF(Z40=1,$Q$7,IF(Z40=2,$Q$9,IF(Z40=3,$Q$11,IF(Z40=4,$Q$13,0)))))*24</f>
        <v>0</v>
      </c>
      <c r="BG40" s="0" t="n">
        <f aca="false">IF(AA40=8,$AJ$17,IF(AA40=1,$Q$7,IF(AA40=2,$Q$9,IF(AA40=3,$Q$11,IF(AA40=4,$Q$13,0)))))*24</f>
        <v>0</v>
      </c>
      <c r="BH40" s="0" t="n">
        <f aca="false">IF(AB40=8,$AJ$17,IF(AB40=1,$Q$7,IF(AB40=2,$Q$9,IF(AB40=3,$Q$11,IF(AB40=4,$Q$13,0)))))*24</f>
        <v>0</v>
      </c>
      <c r="BI40" s="0" t="n">
        <f aca="false">IF(AC40=8,$AJ$17,IF(AC40=1,$Q$7,IF(AC40=2,$Q$9,IF(AC40=3,$Q$11,IF(AC40=4,$Q$13,0)))))*24</f>
        <v>0</v>
      </c>
      <c r="BJ40" s="0" t="n">
        <f aca="false">IF(AD40=8,$AJ$17,IF(AD40=1,$Q$7,IF(AD40=2,$Q$9,IF(AD40=3,$Q$11,IF(AD40=4,$Q$13,0)))))*24</f>
        <v>0</v>
      </c>
      <c r="BK40" s="0" t="n">
        <f aca="false">IF(AE40=8,$AJ$17,IF(AE40=1,$Q$7,IF(AE40=2,$Q$9,IF(AE40=3,$Q$11,IF(AE40=4,$Q$13,0)))))*24</f>
        <v>0</v>
      </c>
      <c r="BL40" s="0" t="n">
        <f aca="false">IF(AF40=8,$AJ$17,IF(AF40=1,$Q$7,IF(AF40=2,$Q$9,IF(AF40=3,$Q$11,IF(AF40=4,$Q$13,0)))))*24</f>
        <v>0</v>
      </c>
      <c r="BM40" s="0" t="n">
        <f aca="false">IF(AG40=8,$AJ$17,IF(AG40=1,$Q$7,IF(AG40=2,$Q$9,IF(AG40=3,$Q$11,IF(AG40=4,$Q$13,0)))))*24</f>
        <v>0</v>
      </c>
    </row>
    <row r="41" customFormat="false" ht="15" hidden="false" customHeight="true" outlineLevel="0" collapsed="false">
      <c r="B41" s="461"/>
      <c r="C41" s="524" t="n">
        <f aca="false">SUM(AJ41:BM41)</f>
        <v>0</v>
      </c>
      <c r="D41" s="518"/>
      <c r="E41" s="452"/>
      <c r="F41" s="452"/>
      <c r="G41" s="452"/>
      <c r="H41" s="452"/>
      <c r="I41" s="452"/>
      <c r="J41" s="452"/>
      <c r="K41" s="452"/>
      <c r="L41" s="452"/>
      <c r="M41" s="452"/>
      <c r="N41" s="452"/>
      <c r="O41" s="452"/>
      <c r="P41" s="452"/>
      <c r="Q41" s="452"/>
      <c r="R41" s="452"/>
      <c r="S41" s="452"/>
      <c r="T41" s="452"/>
      <c r="U41" s="452"/>
      <c r="V41" s="452"/>
      <c r="W41" s="452"/>
      <c r="X41" s="452"/>
      <c r="Y41" s="452"/>
      <c r="Z41" s="452"/>
      <c r="AA41" s="452"/>
      <c r="AB41" s="452"/>
      <c r="AC41" s="452"/>
      <c r="AD41" s="452"/>
      <c r="AE41" s="452"/>
      <c r="AF41" s="452"/>
      <c r="AG41" s="520"/>
      <c r="AJ41" s="0" t="n">
        <f aca="false">IF(D41=8,$AJ$17,IF(D41=1,$Q$7,IF(D41=2,$Q$9,IF(D41=3,$Q$11,IF(D41=4,$Q$13,0)))))*24</f>
        <v>0</v>
      </c>
      <c r="AK41" s="0" t="n">
        <f aca="false">IF(E41=8,$AJ$17,IF(E41=1,$Q$7,IF(E41=2,$Q$9,IF(E41=3,$Q$11,IF(E41=4,$Q$13,0)))))*24</f>
        <v>0</v>
      </c>
      <c r="AL41" s="0" t="n">
        <f aca="false">IF(F41=8,$AJ$17,IF(F41=1,$Q$7,IF(F41=2,$Q$9,IF(F41=3,$Q$11,IF(F41=4,$Q$13,0)))))*24</f>
        <v>0</v>
      </c>
      <c r="AM41" s="0" t="n">
        <f aca="false">IF(G41=8,$AJ$17,IF(G41=1,$Q$7,IF(G41=2,$Q$9,IF(G41=3,$Q$11,IF(G41=4,$Q$13,0)))))*24</f>
        <v>0</v>
      </c>
      <c r="AN41" s="0" t="n">
        <f aca="false">IF(H41=8,$AJ$17,IF(H41=1,$Q$7,IF(H41=2,$Q$9,IF(H41=3,$Q$11,IF(H41=4,$Q$13,0)))))*24</f>
        <v>0</v>
      </c>
      <c r="AO41" s="0" t="n">
        <f aca="false">IF(I41=8,$AJ$17,IF(I41=1,$Q$7,IF(I41=2,$Q$9,IF(I41=3,$Q$11,IF(I41=4,$Q$13,0)))))*24</f>
        <v>0</v>
      </c>
      <c r="AP41" s="0" t="n">
        <f aca="false">IF(J41=8,$AJ$17,IF(J41=1,$Q$7,IF(J41=2,$Q$9,IF(J41=3,$Q$11,IF(J41=4,$Q$13,0)))))*24</f>
        <v>0</v>
      </c>
      <c r="AQ41" s="0" t="n">
        <f aca="false">IF(K41=8,$AJ$17,IF(K41=1,$Q$7,IF(K41=2,$Q$9,IF(K41=3,$Q$11,IF(K41=4,$Q$13,0)))))*24</f>
        <v>0</v>
      </c>
      <c r="AR41" s="0" t="n">
        <f aca="false">IF(L41=8,$AJ$17,IF(L41=1,$Q$7,IF(L41=2,$Q$9,IF(L41=3,$Q$11,IF(L41=4,$Q$13,0)))))*24</f>
        <v>0</v>
      </c>
      <c r="AS41" s="0" t="n">
        <f aca="false">IF(M41=8,$AJ$17,IF(M41=1,$Q$7,IF(M41=2,$Q$9,IF(M41=3,$Q$11,IF(M41=4,$Q$13,0)))))*24</f>
        <v>0</v>
      </c>
      <c r="AT41" s="0" t="n">
        <f aca="false">IF(N41=8,$AJ$17,IF(N41=1,$Q$7,IF(N41=2,$Q$9,IF(N41=3,$Q$11,IF(N41=4,$Q$13,0)))))*24</f>
        <v>0</v>
      </c>
      <c r="AU41" s="0" t="n">
        <f aca="false">IF(O41=8,$AJ$17,IF(O41=1,$Q$7,IF(O41=2,$Q$9,IF(O41=3,$Q$11,IF(O41=4,$Q$13,0)))))*24</f>
        <v>0</v>
      </c>
      <c r="AV41" s="0" t="n">
        <f aca="false">IF(P41=8,$AJ$17,IF(P41=1,$Q$7,IF(P41=2,$Q$9,IF(P41=3,$Q$11,IF(P41=4,$Q$13,0)))))*24</f>
        <v>0</v>
      </c>
      <c r="AW41" s="0" t="n">
        <f aca="false">IF(Q41=8,$AJ$17,IF(Q41=1,$Q$7,IF(Q41=2,$Q$9,IF(Q41=3,$Q$11,IF(Q41=4,$Q$13,0)))))*24</f>
        <v>0</v>
      </c>
      <c r="AX41" s="0" t="n">
        <f aca="false">IF(R41=8,$AJ$17,IF(R41=1,$Q$7,IF(R41=2,$Q$9,IF(R41=3,$Q$11,IF(R41=4,$Q$13,0)))))*24</f>
        <v>0</v>
      </c>
      <c r="AY41" s="0" t="n">
        <f aca="false">IF(S41=8,$AJ$17,IF(S41=1,$Q$7,IF(S41=2,$Q$9,IF(S41=3,$Q$11,IF(S41=4,$Q$13,0)))))*24</f>
        <v>0</v>
      </c>
      <c r="AZ41" s="0" t="n">
        <f aca="false">IF(T41=8,$AJ$17,IF(T41=1,$Q$7,IF(T41=2,$Q$9,IF(T41=3,$Q$11,IF(T41=4,$Q$13,0)))))*24</f>
        <v>0</v>
      </c>
      <c r="BA41" s="0" t="n">
        <f aca="false">IF(U41=8,$AJ$17,IF(U41=1,$Q$7,IF(U41=2,$Q$9,IF(U41=3,$Q$11,IF(U41=4,$Q$13,0)))))*24</f>
        <v>0</v>
      </c>
      <c r="BB41" s="0" t="n">
        <f aca="false">IF(V41=8,$AJ$17,IF(V41=1,$Q$7,IF(V41=2,$Q$9,IF(V41=3,$Q$11,IF(V41=4,$Q$13,0)))))*24</f>
        <v>0</v>
      </c>
      <c r="BC41" s="0" t="n">
        <f aca="false">IF(W41=8,$AJ$17,IF(W41=1,$Q$7,IF(W41=2,$Q$9,IF(W41=3,$Q$11,IF(W41=4,$Q$13,0)))))*24</f>
        <v>0</v>
      </c>
      <c r="BD41" s="0" t="n">
        <f aca="false">IF(X41=8,$AJ$17,IF(X41=1,$Q$7,IF(X41=2,$Q$9,IF(X41=3,$Q$11,IF(X41=4,$Q$13,0)))))*24</f>
        <v>0</v>
      </c>
      <c r="BE41" s="0" t="n">
        <f aca="false">IF(Y41=8,$AJ$17,IF(Y41=1,$Q$7,IF(Y41=2,$Q$9,IF(Y41=3,$Q$11,IF(Y41=4,$Q$13,0)))))*24</f>
        <v>0</v>
      </c>
      <c r="BF41" s="0" t="n">
        <f aca="false">IF(Z41=8,$AJ$17,IF(Z41=1,$Q$7,IF(Z41=2,$Q$9,IF(Z41=3,$Q$11,IF(Z41=4,$Q$13,0)))))*24</f>
        <v>0</v>
      </c>
      <c r="BG41" s="0" t="n">
        <f aca="false">IF(AA41=8,$AJ$17,IF(AA41=1,$Q$7,IF(AA41=2,$Q$9,IF(AA41=3,$Q$11,IF(AA41=4,$Q$13,0)))))*24</f>
        <v>0</v>
      </c>
      <c r="BH41" s="0" t="n">
        <f aca="false">IF(AB41=8,$AJ$17,IF(AB41=1,$Q$7,IF(AB41=2,$Q$9,IF(AB41=3,$Q$11,IF(AB41=4,$Q$13,0)))))*24</f>
        <v>0</v>
      </c>
      <c r="BI41" s="0" t="n">
        <f aca="false">IF(AC41=8,$AJ$17,IF(AC41=1,$Q$7,IF(AC41=2,$Q$9,IF(AC41=3,$Q$11,IF(AC41=4,$Q$13,0)))))*24</f>
        <v>0</v>
      </c>
      <c r="BJ41" s="0" t="n">
        <f aca="false">IF(AD41=8,$AJ$17,IF(AD41=1,$Q$7,IF(AD41=2,$Q$9,IF(AD41=3,$Q$11,IF(AD41=4,$Q$13,0)))))*24</f>
        <v>0</v>
      </c>
      <c r="BK41" s="0" t="n">
        <f aca="false">IF(AE41=8,$AJ$17,IF(AE41=1,$Q$7,IF(AE41=2,$Q$9,IF(AE41=3,$Q$11,IF(AE41=4,$Q$13,0)))))*24</f>
        <v>0</v>
      </c>
      <c r="BL41" s="0" t="n">
        <f aca="false">IF(AF41=8,$AJ$17,IF(AF41=1,$Q$7,IF(AF41=2,$Q$9,IF(AF41=3,$Q$11,IF(AF41=4,$Q$13,0)))))*24</f>
        <v>0</v>
      </c>
      <c r="BM41" s="0" t="n">
        <f aca="false">IF(AG41=8,$AJ$17,IF(AG41=1,$Q$7,IF(AG41=2,$Q$9,IF(AG41=3,$Q$11,IF(AG41=4,$Q$13,0)))))*24</f>
        <v>0</v>
      </c>
    </row>
    <row r="42" customFormat="false" ht="15" hidden="false" customHeight="true" outlineLevel="0" collapsed="false">
      <c r="B42" s="461"/>
      <c r="C42" s="524" t="n">
        <f aca="false">SUM(AJ42:BM42)</f>
        <v>0</v>
      </c>
      <c r="D42" s="518"/>
      <c r="E42" s="452"/>
      <c r="F42" s="452"/>
      <c r="G42" s="452"/>
      <c r="H42" s="452"/>
      <c r="I42" s="452"/>
      <c r="J42" s="452"/>
      <c r="K42" s="452"/>
      <c r="L42" s="452"/>
      <c r="M42" s="452"/>
      <c r="N42" s="452"/>
      <c r="O42" s="452"/>
      <c r="P42" s="452"/>
      <c r="Q42" s="452"/>
      <c r="R42" s="452"/>
      <c r="S42" s="452"/>
      <c r="T42" s="452"/>
      <c r="U42" s="452"/>
      <c r="V42" s="452"/>
      <c r="W42" s="452"/>
      <c r="X42" s="452"/>
      <c r="Y42" s="452"/>
      <c r="Z42" s="452"/>
      <c r="AA42" s="452"/>
      <c r="AB42" s="452"/>
      <c r="AC42" s="452"/>
      <c r="AD42" s="452"/>
      <c r="AE42" s="452"/>
      <c r="AF42" s="452"/>
      <c r="AG42" s="520"/>
      <c r="AJ42" s="0" t="n">
        <f aca="false">IF(D42=8,$AJ$17,IF(D42=1,$Q$7,IF(D42=2,$Q$9,IF(D42=3,$Q$11,IF(D42=4,$Q$13,0)))))*24</f>
        <v>0</v>
      </c>
      <c r="AK42" s="0" t="n">
        <f aca="false">IF(E42=8,$AJ$17,IF(E42=1,$Q$7,IF(E42=2,$Q$9,IF(E42=3,$Q$11,IF(E42=4,$Q$13,0)))))*24</f>
        <v>0</v>
      </c>
      <c r="AL42" s="0" t="n">
        <f aca="false">IF(F42=8,$AJ$17,IF(F42=1,$Q$7,IF(F42=2,$Q$9,IF(F42=3,$Q$11,IF(F42=4,$Q$13,0)))))*24</f>
        <v>0</v>
      </c>
      <c r="AM42" s="0" t="n">
        <f aca="false">IF(G42=8,$AJ$17,IF(G42=1,$Q$7,IF(G42=2,$Q$9,IF(G42=3,$Q$11,IF(G42=4,$Q$13,0)))))*24</f>
        <v>0</v>
      </c>
      <c r="AN42" s="0" t="n">
        <f aca="false">IF(H42=8,$AJ$17,IF(H42=1,$Q$7,IF(H42=2,$Q$9,IF(H42=3,$Q$11,IF(H42=4,$Q$13,0)))))*24</f>
        <v>0</v>
      </c>
      <c r="AO42" s="0" t="n">
        <f aca="false">IF(I42=8,$AJ$17,IF(I42=1,$Q$7,IF(I42=2,$Q$9,IF(I42=3,$Q$11,IF(I42=4,$Q$13,0)))))*24</f>
        <v>0</v>
      </c>
      <c r="AP42" s="0" t="n">
        <f aca="false">IF(J42=8,$AJ$17,IF(J42=1,$Q$7,IF(J42=2,$Q$9,IF(J42=3,$Q$11,IF(J42=4,$Q$13,0)))))*24</f>
        <v>0</v>
      </c>
      <c r="AQ42" s="0" t="n">
        <f aca="false">IF(K42=8,$AJ$17,IF(K42=1,$Q$7,IF(K42=2,$Q$9,IF(K42=3,$Q$11,IF(K42=4,$Q$13,0)))))*24</f>
        <v>0</v>
      </c>
      <c r="AR42" s="0" t="n">
        <f aca="false">IF(L42=8,$AJ$17,IF(L42=1,$Q$7,IF(L42=2,$Q$9,IF(L42=3,$Q$11,IF(L42=4,$Q$13,0)))))*24</f>
        <v>0</v>
      </c>
      <c r="AS42" s="0" t="n">
        <f aca="false">IF(M42=8,$AJ$17,IF(M42=1,$Q$7,IF(M42=2,$Q$9,IF(M42=3,$Q$11,IF(M42=4,$Q$13,0)))))*24</f>
        <v>0</v>
      </c>
      <c r="AT42" s="0" t="n">
        <f aca="false">IF(N42=8,$AJ$17,IF(N42=1,$Q$7,IF(N42=2,$Q$9,IF(N42=3,$Q$11,IF(N42=4,$Q$13,0)))))*24</f>
        <v>0</v>
      </c>
      <c r="AU42" s="0" t="n">
        <f aca="false">IF(O42=8,$AJ$17,IF(O42=1,$Q$7,IF(O42=2,$Q$9,IF(O42=3,$Q$11,IF(O42=4,$Q$13,0)))))*24</f>
        <v>0</v>
      </c>
      <c r="AV42" s="0" t="n">
        <f aca="false">IF(P42=8,$AJ$17,IF(P42=1,$Q$7,IF(P42=2,$Q$9,IF(P42=3,$Q$11,IF(P42=4,$Q$13,0)))))*24</f>
        <v>0</v>
      </c>
      <c r="AW42" s="0" t="n">
        <f aca="false">IF(Q42=8,$AJ$17,IF(Q42=1,$Q$7,IF(Q42=2,$Q$9,IF(Q42=3,$Q$11,IF(Q42=4,$Q$13,0)))))*24</f>
        <v>0</v>
      </c>
      <c r="AX42" s="0" t="n">
        <f aca="false">IF(R42=8,$AJ$17,IF(R42=1,$Q$7,IF(R42=2,$Q$9,IF(R42=3,$Q$11,IF(R42=4,$Q$13,0)))))*24</f>
        <v>0</v>
      </c>
      <c r="AY42" s="0" t="n">
        <f aca="false">IF(S42=8,$AJ$17,IF(S42=1,$Q$7,IF(S42=2,$Q$9,IF(S42=3,$Q$11,IF(S42=4,$Q$13,0)))))*24</f>
        <v>0</v>
      </c>
      <c r="AZ42" s="0" t="n">
        <f aca="false">IF(T42=8,$AJ$17,IF(T42=1,$Q$7,IF(T42=2,$Q$9,IF(T42=3,$Q$11,IF(T42=4,$Q$13,0)))))*24</f>
        <v>0</v>
      </c>
      <c r="BA42" s="0" t="n">
        <f aca="false">IF(U42=8,$AJ$17,IF(U42=1,$Q$7,IF(U42=2,$Q$9,IF(U42=3,$Q$11,IF(U42=4,$Q$13,0)))))*24</f>
        <v>0</v>
      </c>
      <c r="BB42" s="0" t="n">
        <f aca="false">IF(V42=8,$AJ$17,IF(V42=1,$Q$7,IF(V42=2,$Q$9,IF(V42=3,$Q$11,IF(V42=4,$Q$13,0)))))*24</f>
        <v>0</v>
      </c>
      <c r="BC42" s="0" t="n">
        <f aca="false">IF(W42=8,$AJ$17,IF(W42=1,$Q$7,IF(W42=2,$Q$9,IF(W42=3,$Q$11,IF(W42=4,$Q$13,0)))))*24</f>
        <v>0</v>
      </c>
      <c r="BD42" s="0" t="n">
        <f aca="false">IF(X42=8,$AJ$17,IF(X42=1,$Q$7,IF(X42=2,$Q$9,IF(X42=3,$Q$11,IF(X42=4,$Q$13,0)))))*24</f>
        <v>0</v>
      </c>
      <c r="BE42" s="0" t="n">
        <f aca="false">IF(Y42=8,$AJ$17,IF(Y42=1,$Q$7,IF(Y42=2,$Q$9,IF(Y42=3,$Q$11,IF(Y42=4,$Q$13,0)))))*24</f>
        <v>0</v>
      </c>
      <c r="BF42" s="0" t="n">
        <f aca="false">IF(Z42=8,$AJ$17,IF(Z42=1,$Q$7,IF(Z42=2,$Q$9,IF(Z42=3,$Q$11,IF(Z42=4,$Q$13,0)))))*24</f>
        <v>0</v>
      </c>
      <c r="BG42" s="0" t="n">
        <f aca="false">IF(AA42=8,$AJ$17,IF(AA42=1,$Q$7,IF(AA42=2,$Q$9,IF(AA42=3,$Q$11,IF(AA42=4,$Q$13,0)))))*24</f>
        <v>0</v>
      </c>
      <c r="BH42" s="0" t="n">
        <f aca="false">IF(AB42=8,$AJ$17,IF(AB42=1,$Q$7,IF(AB42=2,$Q$9,IF(AB42=3,$Q$11,IF(AB42=4,$Q$13,0)))))*24</f>
        <v>0</v>
      </c>
      <c r="BI42" s="0" t="n">
        <f aca="false">IF(AC42=8,$AJ$17,IF(AC42=1,$Q$7,IF(AC42=2,$Q$9,IF(AC42=3,$Q$11,IF(AC42=4,$Q$13,0)))))*24</f>
        <v>0</v>
      </c>
      <c r="BJ42" s="0" t="n">
        <f aca="false">IF(AD42=8,$AJ$17,IF(AD42=1,$Q$7,IF(AD42=2,$Q$9,IF(AD42=3,$Q$11,IF(AD42=4,$Q$13,0)))))*24</f>
        <v>0</v>
      </c>
      <c r="BK42" s="0" t="n">
        <f aca="false">IF(AE42=8,$AJ$17,IF(AE42=1,$Q$7,IF(AE42=2,$Q$9,IF(AE42=3,$Q$11,IF(AE42=4,$Q$13,0)))))*24</f>
        <v>0</v>
      </c>
      <c r="BL42" s="0" t="n">
        <f aca="false">IF(AF42=8,$AJ$17,IF(AF42=1,$Q$7,IF(AF42=2,$Q$9,IF(AF42=3,$Q$11,IF(AF42=4,$Q$13,0)))))*24</f>
        <v>0</v>
      </c>
      <c r="BM42" s="0" t="n">
        <f aca="false">IF(AG42=8,$AJ$17,IF(AG42=1,$Q$7,IF(AG42=2,$Q$9,IF(AG42=3,$Q$11,IF(AG42=4,$Q$13,0)))))*24</f>
        <v>0</v>
      </c>
    </row>
    <row r="43" customFormat="false" ht="15" hidden="false" customHeight="true" outlineLevel="0" collapsed="false">
      <c r="B43" s="461"/>
      <c r="C43" s="524" t="n">
        <f aca="false">SUM(AJ43:BM43)</f>
        <v>0</v>
      </c>
      <c r="D43" s="518"/>
      <c r="E43" s="452"/>
      <c r="F43" s="452"/>
      <c r="G43" s="452"/>
      <c r="H43" s="452"/>
      <c r="I43" s="452"/>
      <c r="J43" s="452"/>
      <c r="K43" s="452"/>
      <c r="L43" s="452"/>
      <c r="M43" s="452"/>
      <c r="N43" s="452"/>
      <c r="O43" s="452"/>
      <c r="P43" s="452"/>
      <c r="Q43" s="452"/>
      <c r="R43" s="452"/>
      <c r="S43" s="452"/>
      <c r="T43" s="452"/>
      <c r="U43" s="452"/>
      <c r="V43" s="452"/>
      <c r="W43" s="452"/>
      <c r="X43" s="452"/>
      <c r="Y43" s="452"/>
      <c r="Z43" s="452"/>
      <c r="AA43" s="452"/>
      <c r="AB43" s="452"/>
      <c r="AC43" s="452"/>
      <c r="AD43" s="452"/>
      <c r="AE43" s="452"/>
      <c r="AF43" s="452"/>
      <c r="AG43" s="520"/>
      <c r="AJ43" s="0" t="n">
        <f aca="false">IF(D43=8,$AJ$17,IF(D43=1,$Q$7,IF(D43=2,$Q$9,IF(D43=3,$Q$11,IF(D43=4,$Q$13,0)))))*24</f>
        <v>0</v>
      </c>
      <c r="AK43" s="0" t="n">
        <f aca="false">IF(E43=8,$AJ$17,IF(E43=1,$Q$7,IF(E43=2,$Q$9,IF(E43=3,$Q$11,IF(E43=4,$Q$13,0)))))*24</f>
        <v>0</v>
      </c>
      <c r="AL43" s="0" t="n">
        <f aca="false">IF(F43=8,$AJ$17,IF(F43=1,$Q$7,IF(F43=2,$Q$9,IF(F43=3,$Q$11,IF(F43=4,$Q$13,0)))))*24</f>
        <v>0</v>
      </c>
      <c r="AM43" s="0" t="n">
        <f aca="false">IF(G43=8,$AJ$17,IF(G43=1,$Q$7,IF(G43=2,$Q$9,IF(G43=3,$Q$11,IF(G43=4,$Q$13,0)))))*24</f>
        <v>0</v>
      </c>
      <c r="AN43" s="0" t="n">
        <f aca="false">IF(H43=8,$AJ$17,IF(H43=1,$Q$7,IF(H43=2,$Q$9,IF(H43=3,$Q$11,IF(H43=4,$Q$13,0)))))*24</f>
        <v>0</v>
      </c>
      <c r="AO43" s="0" t="n">
        <f aca="false">IF(I43=8,$AJ$17,IF(I43=1,$Q$7,IF(I43=2,$Q$9,IF(I43=3,$Q$11,IF(I43=4,$Q$13,0)))))*24</f>
        <v>0</v>
      </c>
      <c r="AP43" s="0" t="n">
        <f aca="false">IF(J43=8,$AJ$17,IF(J43=1,$Q$7,IF(J43=2,$Q$9,IF(J43=3,$Q$11,IF(J43=4,$Q$13,0)))))*24</f>
        <v>0</v>
      </c>
      <c r="AQ43" s="0" t="n">
        <f aca="false">IF(K43=8,$AJ$17,IF(K43=1,$Q$7,IF(K43=2,$Q$9,IF(K43=3,$Q$11,IF(K43=4,$Q$13,0)))))*24</f>
        <v>0</v>
      </c>
      <c r="AR43" s="0" t="n">
        <f aca="false">IF(L43=8,$AJ$17,IF(L43=1,$Q$7,IF(L43=2,$Q$9,IF(L43=3,$Q$11,IF(L43=4,$Q$13,0)))))*24</f>
        <v>0</v>
      </c>
      <c r="AS43" s="0" t="n">
        <f aca="false">IF(M43=8,$AJ$17,IF(M43=1,$Q$7,IF(M43=2,$Q$9,IF(M43=3,$Q$11,IF(M43=4,$Q$13,0)))))*24</f>
        <v>0</v>
      </c>
      <c r="AT43" s="0" t="n">
        <f aca="false">IF(N43=8,$AJ$17,IF(N43=1,$Q$7,IF(N43=2,$Q$9,IF(N43=3,$Q$11,IF(N43=4,$Q$13,0)))))*24</f>
        <v>0</v>
      </c>
      <c r="AU43" s="0" t="n">
        <f aca="false">IF(O43=8,$AJ$17,IF(O43=1,$Q$7,IF(O43=2,$Q$9,IF(O43=3,$Q$11,IF(O43=4,$Q$13,0)))))*24</f>
        <v>0</v>
      </c>
      <c r="AV43" s="0" t="n">
        <f aca="false">IF(P43=8,$AJ$17,IF(P43=1,$Q$7,IF(P43=2,$Q$9,IF(P43=3,$Q$11,IF(P43=4,$Q$13,0)))))*24</f>
        <v>0</v>
      </c>
      <c r="AW43" s="0" t="n">
        <f aca="false">IF(Q43=8,$AJ$17,IF(Q43=1,$Q$7,IF(Q43=2,$Q$9,IF(Q43=3,$Q$11,IF(Q43=4,$Q$13,0)))))*24</f>
        <v>0</v>
      </c>
      <c r="AX43" s="0" t="n">
        <f aca="false">IF(R43=8,$AJ$17,IF(R43=1,$Q$7,IF(R43=2,$Q$9,IF(R43=3,$Q$11,IF(R43=4,$Q$13,0)))))*24</f>
        <v>0</v>
      </c>
      <c r="AY43" s="0" t="n">
        <f aca="false">IF(S43=8,$AJ$17,IF(S43=1,$Q$7,IF(S43=2,$Q$9,IF(S43=3,$Q$11,IF(S43=4,$Q$13,0)))))*24</f>
        <v>0</v>
      </c>
      <c r="AZ43" s="0" t="n">
        <f aca="false">IF(T43=8,$AJ$17,IF(T43=1,$Q$7,IF(T43=2,$Q$9,IF(T43=3,$Q$11,IF(T43=4,$Q$13,0)))))*24</f>
        <v>0</v>
      </c>
      <c r="BA43" s="0" t="n">
        <f aca="false">IF(U43=8,$AJ$17,IF(U43=1,$Q$7,IF(U43=2,$Q$9,IF(U43=3,$Q$11,IF(U43=4,$Q$13,0)))))*24</f>
        <v>0</v>
      </c>
      <c r="BB43" s="0" t="n">
        <f aca="false">IF(V43=8,$AJ$17,IF(V43=1,$Q$7,IF(V43=2,$Q$9,IF(V43=3,$Q$11,IF(V43=4,$Q$13,0)))))*24</f>
        <v>0</v>
      </c>
      <c r="BC43" s="0" t="n">
        <f aca="false">IF(W43=8,$AJ$17,IF(W43=1,$Q$7,IF(W43=2,$Q$9,IF(W43=3,$Q$11,IF(W43=4,$Q$13,0)))))*24</f>
        <v>0</v>
      </c>
      <c r="BD43" s="0" t="n">
        <f aca="false">IF(X43=8,$AJ$17,IF(X43=1,$Q$7,IF(X43=2,$Q$9,IF(X43=3,$Q$11,IF(X43=4,$Q$13,0)))))*24</f>
        <v>0</v>
      </c>
      <c r="BE43" s="0" t="n">
        <f aca="false">IF(Y43=8,$AJ$17,IF(Y43=1,$Q$7,IF(Y43=2,$Q$9,IF(Y43=3,$Q$11,IF(Y43=4,$Q$13,0)))))*24</f>
        <v>0</v>
      </c>
      <c r="BF43" s="0" t="n">
        <f aca="false">IF(Z43=8,$AJ$17,IF(Z43=1,$Q$7,IF(Z43=2,$Q$9,IF(Z43=3,$Q$11,IF(Z43=4,$Q$13,0)))))*24</f>
        <v>0</v>
      </c>
      <c r="BG43" s="0" t="n">
        <f aca="false">IF(AA43=8,$AJ$17,IF(AA43=1,$Q$7,IF(AA43=2,$Q$9,IF(AA43=3,$Q$11,IF(AA43=4,$Q$13,0)))))*24</f>
        <v>0</v>
      </c>
      <c r="BH43" s="0" t="n">
        <f aca="false">IF(AB43=8,$AJ$17,IF(AB43=1,$Q$7,IF(AB43=2,$Q$9,IF(AB43=3,$Q$11,IF(AB43=4,$Q$13,0)))))*24</f>
        <v>0</v>
      </c>
      <c r="BI43" s="0" t="n">
        <f aca="false">IF(AC43=8,$AJ$17,IF(AC43=1,$Q$7,IF(AC43=2,$Q$9,IF(AC43=3,$Q$11,IF(AC43=4,$Q$13,0)))))*24</f>
        <v>0</v>
      </c>
      <c r="BJ43" s="0" t="n">
        <f aca="false">IF(AD43=8,$AJ$17,IF(AD43=1,$Q$7,IF(AD43=2,$Q$9,IF(AD43=3,$Q$11,IF(AD43=4,$Q$13,0)))))*24</f>
        <v>0</v>
      </c>
      <c r="BK43" s="0" t="n">
        <f aca="false">IF(AE43=8,$AJ$17,IF(AE43=1,$Q$7,IF(AE43=2,$Q$9,IF(AE43=3,$Q$11,IF(AE43=4,$Q$13,0)))))*24</f>
        <v>0</v>
      </c>
      <c r="BL43" s="0" t="n">
        <f aca="false">IF(AF43=8,$AJ$17,IF(AF43=1,$Q$7,IF(AF43=2,$Q$9,IF(AF43=3,$Q$11,IF(AF43=4,$Q$13,0)))))*24</f>
        <v>0</v>
      </c>
      <c r="BM43" s="0" t="n">
        <f aca="false">IF(AG43=8,$AJ$17,IF(AG43=1,$Q$7,IF(AG43=2,$Q$9,IF(AG43=3,$Q$11,IF(AG43=4,$Q$13,0)))))*24</f>
        <v>0</v>
      </c>
    </row>
    <row r="44" customFormat="false" ht="15" hidden="false" customHeight="true" outlineLevel="0" collapsed="false">
      <c r="B44" s="461"/>
      <c r="C44" s="524" t="n">
        <f aca="false">SUM(AJ44:BM44)</f>
        <v>0</v>
      </c>
      <c r="D44" s="518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52"/>
      <c r="AA44" s="452"/>
      <c r="AB44" s="452"/>
      <c r="AC44" s="452"/>
      <c r="AD44" s="452"/>
      <c r="AE44" s="452"/>
      <c r="AF44" s="452"/>
      <c r="AG44" s="520"/>
      <c r="AJ44" s="0" t="n">
        <f aca="false">IF(D44=8,$AJ$17,IF(D44=1,$Q$7,IF(D44=2,$Q$9,IF(D44=3,$Q$11,IF(D44=4,$Q$13,0)))))*24</f>
        <v>0</v>
      </c>
      <c r="AK44" s="0" t="n">
        <f aca="false">IF(E44=8,$AJ$17,IF(E44=1,$Q$7,IF(E44=2,$Q$9,IF(E44=3,$Q$11,IF(E44=4,$Q$13,0)))))*24</f>
        <v>0</v>
      </c>
      <c r="AL44" s="0" t="n">
        <f aca="false">IF(F44=8,$AJ$17,IF(F44=1,$Q$7,IF(F44=2,$Q$9,IF(F44=3,$Q$11,IF(F44=4,$Q$13,0)))))*24</f>
        <v>0</v>
      </c>
      <c r="AM44" s="0" t="n">
        <f aca="false">IF(G44=8,$AJ$17,IF(G44=1,$Q$7,IF(G44=2,$Q$9,IF(G44=3,$Q$11,IF(G44=4,$Q$13,0)))))*24</f>
        <v>0</v>
      </c>
      <c r="AN44" s="0" t="n">
        <f aca="false">IF(H44=8,$AJ$17,IF(H44=1,$Q$7,IF(H44=2,$Q$9,IF(H44=3,$Q$11,IF(H44=4,$Q$13,0)))))*24</f>
        <v>0</v>
      </c>
      <c r="AO44" s="0" t="n">
        <f aca="false">IF(I44=8,$AJ$17,IF(I44=1,$Q$7,IF(I44=2,$Q$9,IF(I44=3,$Q$11,IF(I44=4,$Q$13,0)))))*24</f>
        <v>0</v>
      </c>
      <c r="AP44" s="0" t="n">
        <f aca="false">IF(J44=8,$AJ$17,IF(J44=1,$Q$7,IF(J44=2,$Q$9,IF(J44=3,$Q$11,IF(J44=4,$Q$13,0)))))*24</f>
        <v>0</v>
      </c>
      <c r="AQ44" s="0" t="n">
        <f aca="false">IF(K44=8,$AJ$17,IF(K44=1,$Q$7,IF(K44=2,$Q$9,IF(K44=3,$Q$11,IF(K44=4,$Q$13,0)))))*24</f>
        <v>0</v>
      </c>
      <c r="AR44" s="0" t="n">
        <f aca="false">IF(L44=8,$AJ$17,IF(L44=1,$Q$7,IF(L44=2,$Q$9,IF(L44=3,$Q$11,IF(L44=4,$Q$13,0)))))*24</f>
        <v>0</v>
      </c>
      <c r="AS44" s="0" t="n">
        <f aca="false">IF(M44=8,$AJ$17,IF(M44=1,$Q$7,IF(M44=2,$Q$9,IF(M44=3,$Q$11,IF(M44=4,$Q$13,0)))))*24</f>
        <v>0</v>
      </c>
      <c r="AT44" s="0" t="n">
        <f aca="false">IF(N44=8,$AJ$17,IF(N44=1,$Q$7,IF(N44=2,$Q$9,IF(N44=3,$Q$11,IF(N44=4,$Q$13,0)))))*24</f>
        <v>0</v>
      </c>
      <c r="AU44" s="0" t="n">
        <f aca="false">IF(O44=8,$AJ$17,IF(O44=1,$Q$7,IF(O44=2,$Q$9,IF(O44=3,$Q$11,IF(O44=4,$Q$13,0)))))*24</f>
        <v>0</v>
      </c>
      <c r="AV44" s="0" t="n">
        <f aca="false">IF(P44=8,$AJ$17,IF(P44=1,$Q$7,IF(P44=2,$Q$9,IF(P44=3,$Q$11,IF(P44=4,$Q$13,0)))))*24</f>
        <v>0</v>
      </c>
      <c r="AW44" s="0" t="n">
        <f aca="false">IF(Q44=8,$AJ$17,IF(Q44=1,$Q$7,IF(Q44=2,$Q$9,IF(Q44=3,$Q$11,IF(Q44=4,$Q$13,0)))))*24</f>
        <v>0</v>
      </c>
      <c r="AX44" s="0" t="n">
        <f aca="false">IF(R44=8,$AJ$17,IF(R44=1,$Q$7,IF(R44=2,$Q$9,IF(R44=3,$Q$11,IF(R44=4,$Q$13,0)))))*24</f>
        <v>0</v>
      </c>
      <c r="AY44" s="0" t="n">
        <f aca="false">IF(S44=8,$AJ$17,IF(S44=1,$Q$7,IF(S44=2,$Q$9,IF(S44=3,$Q$11,IF(S44=4,$Q$13,0)))))*24</f>
        <v>0</v>
      </c>
      <c r="AZ44" s="0" t="n">
        <f aca="false">IF(T44=8,$AJ$17,IF(T44=1,$Q$7,IF(T44=2,$Q$9,IF(T44=3,$Q$11,IF(T44=4,$Q$13,0)))))*24</f>
        <v>0</v>
      </c>
      <c r="BA44" s="0" t="n">
        <f aca="false">IF(U44=8,$AJ$17,IF(U44=1,$Q$7,IF(U44=2,$Q$9,IF(U44=3,$Q$11,IF(U44=4,$Q$13,0)))))*24</f>
        <v>0</v>
      </c>
      <c r="BB44" s="0" t="n">
        <f aca="false">IF(V44=8,$AJ$17,IF(V44=1,$Q$7,IF(V44=2,$Q$9,IF(V44=3,$Q$11,IF(V44=4,$Q$13,0)))))*24</f>
        <v>0</v>
      </c>
      <c r="BC44" s="0" t="n">
        <f aca="false">IF(W44=8,$AJ$17,IF(W44=1,$Q$7,IF(W44=2,$Q$9,IF(W44=3,$Q$11,IF(W44=4,$Q$13,0)))))*24</f>
        <v>0</v>
      </c>
      <c r="BD44" s="0" t="n">
        <f aca="false">IF(X44=8,$AJ$17,IF(X44=1,$Q$7,IF(X44=2,$Q$9,IF(X44=3,$Q$11,IF(X44=4,$Q$13,0)))))*24</f>
        <v>0</v>
      </c>
      <c r="BE44" s="0" t="n">
        <f aca="false">IF(Y44=8,$AJ$17,IF(Y44=1,$Q$7,IF(Y44=2,$Q$9,IF(Y44=3,$Q$11,IF(Y44=4,$Q$13,0)))))*24</f>
        <v>0</v>
      </c>
      <c r="BF44" s="0" t="n">
        <f aca="false">IF(Z44=8,$AJ$17,IF(Z44=1,$Q$7,IF(Z44=2,$Q$9,IF(Z44=3,$Q$11,IF(Z44=4,$Q$13,0)))))*24</f>
        <v>0</v>
      </c>
      <c r="BG44" s="0" t="n">
        <f aca="false">IF(AA44=8,$AJ$17,IF(AA44=1,$Q$7,IF(AA44=2,$Q$9,IF(AA44=3,$Q$11,IF(AA44=4,$Q$13,0)))))*24</f>
        <v>0</v>
      </c>
      <c r="BH44" s="0" t="n">
        <f aca="false">IF(AB44=8,$AJ$17,IF(AB44=1,$Q$7,IF(AB44=2,$Q$9,IF(AB44=3,$Q$11,IF(AB44=4,$Q$13,0)))))*24</f>
        <v>0</v>
      </c>
      <c r="BI44" s="0" t="n">
        <f aca="false">IF(AC44=8,$AJ$17,IF(AC44=1,$Q$7,IF(AC44=2,$Q$9,IF(AC44=3,$Q$11,IF(AC44=4,$Q$13,0)))))*24</f>
        <v>0</v>
      </c>
      <c r="BJ44" s="0" t="n">
        <f aca="false">IF(AD44=8,$AJ$17,IF(AD44=1,$Q$7,IF(AD44=2,$Q$9,IF(AD44=3,$Q$11,IF(AD44=4,$Q$13,0)))))*24</f>
        <v>0</v>
      </c>
      <c r="BK44" s="0" t="n">
        <f aca="false">IF(AE44=8,$AJ$17,IF(AE44=1,$Q$7,IF(AE44=2,$Q$9,IF(AE44=3,$Q$11,IF(AE44=4,$Q$13,0)))))*24</f>
        <v>0</v>
      </c>
      <c r="BL44" s="0" t="n">
        <f aca="false">IF(AF44=8,$AJ$17,IF(AF44=1,$Q$7,IF(AF44=2,$Q$9,IF(AF44=3,$Q$11,IF(AF44=4,$Q$13,0)))))*24</f>
        <v>0</v>
      </c>
      <c r="BM44" s="0" t="n">
        <f aca="false">IF(AG44=8,$AJ$17,IF(AG44=1,$Q$7,IF(AG44=2,$Q$9,IF(AG44=3,$Q$11,IF(AG44=4,$Q$13,0)))))*24</f>
        <v>0</v>
      </c>
    </row>
    <row r="45" customFormat="false" ht="15" hidden="false" customHeight="true" outlineLevel="0" collapsed="false">
      <c r="B45" s="461"/>
      <c r="C45" s="524" t="n">
        <f aca="false">SUM(AJ45:BM45)</f>
        <v>0</v>
      </c>
      <c r="D45" s="518"/>
      <c r="E45" s="452"/>
      <c r="F45" s="452"/>
      <c r="G45" s="452"/>
      <c r="H45" s="452"/>
      <c r="I45" s="452"/>
      <c r="J45" s="452"/>
      <c r="K45" s="452"/>
      <c r="L45" s="452"/>
      <c r="M45" s="452"/>
      <c r="N45" s="452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2"/>
      <c r="Z45" s="452"/>
      <c r="AA45" s="452"/>
      <c r="AB45" s="452"/>
      <c r="AC45" s="452"/>
      <c r="AD45" s="452"/>
      <c r="AE45" s="452"/>
      <c r="AF45" s="452"/>
      <c r="AG45" s="520"/>
      <c r="AJ45" s="0" t="n">
        <f aca="false">IF(D45=8,$AJ$17,IF(D45=1,$Q$7,IF(D45=2,$Q$9,IF(D45=3,$Q$11,IF(D45=4,$Q$13,0)))))*24</f>
        <v>0</v>
      </c>
      <c r="AK45" s="0" t="n">
        <f aca="false">IF(E45=8,$AJ$17,IF(E45=1,$Q$7,IF(E45=2,$Q$9,IF(E45=3,$Q$11,IF(E45=4,$Q$13,0)))))*24</f>
        <v>0</v>
      </c>
      <c r="AL45" s="0" t="n">
        <f aca="false">IF(F45=8,$AJ$17,IF(F45=1,$Q$7,IF(F45=2,$Q$9,IF(F45=3,$Q$11,IF(F45=4,$Q$13,0)))))*24</f>
        <v>0</v>
      </c>
      <c r="AM45" s="0" t="n">
        <f aca="false">IF(G45=8,$AJ$17,IF(G45=1,$Q$7,IF(G45=2,$Q$9,IF(G45=3,$Q$11,IF(G45=4,$Q$13,0)))))*24</f>
        <v>0</v>
      </c>
      <c r="AN45" s="0" t="n">
        <f aca="false">IF(H45=8,$AJ$17,IF(H45=1,$Q$7,IF(H45=2,$Q$9,IF(H45=3,$Q$11,IF(H45=4,$Q$13,0)))))*24</f>
        <v>0</v>
      </c>
      <c r="AO45" s="0" t="n">
        <f aca="false">IF(I45=8,$AJ$17,IF(I45=1,$Q$7,IF(I45=2,$Q$9,IF(I45=3,$Q$11,IF(I45=4,$Q$13,0)))))*24</f>
        <v>0</v>
      </c>
      <c r="AP45" s="0" t="n">
        <f aca="false">IF(J45=8,$AJ$17,IF(J45=1,$Q$7,IF(J45=2,$Q$9,IF(J45=3,$Q$11,IF(J45=4,$Q$13,0)))))*24</f>
        <v>0</v>
      </c>
      <c r="AQ45" s="0" t="n">
        <f aca="false">IF(K45=8,$AJ$17,IF(K45=1,$Q$7,IF(K45=2,$Q$9,IF(K45=3,$Q$11,IF(K45=4,$Q$13,0)))))*24</f>
        <v>0</v>
      </c>
      <c r="AR45" s="0" t="n">
        <f aca="false">IF(L45=8,$AJ$17,IF(L45=1,$Q$7,IF(L45=2,$Q$9,IF(L45=3,$Q$11,IF(L45=4,$Q$13,0)))))*24</f>
        <v>0</v>
      </c>
      <c r="AS45" s="0" t="n">
        <f aca="false">IF(M45=8,$AJ$17,IF(M45=1,$Q$7,IF(M45=2,$Q$9,IF(M45=3,$Q$11,IF(M45=4,$Q$13,0)))))*24</f>
        <v>0</v>
      </c>
      <c r="AT45" s="0" t="n">
        <f aca="false">IF(N45=8,$AJ$17,IF(N45=1,$Q$7,IF(N45=2,$Q$9,IF(N45=3,$Q$11,IF(N45=4,$Q$13,0)))))*24</f>
        <v>0</v>
      </c>
      <c r="AU45" s="0" t="n">
        <f aca="false">IF(O45=8,$AJ$17,IF(O45=1,$Q$7,IF(O45=2,$Q$9,IF(O45=3,$Q$11,IF(O45=4,$Q$13,0)))))*24</f>
        <v>0</v>
      </c>
      <c r="AV45" s="0" t="n">
        <f aca="false">IF(P45=8,$AJ$17,IF(P45=1,$Q$7,IF(P45=2,$Q$9,IF(P45=3,$Q$11,IF(P45=4,$Q$13,0)))))*24</f>
        <v>0</v>
      </c>
      <c r="AW45" s="0" t="n">
        <f aca="false">IF(Q45=8,$AJ$17,IF(Q45=1,$Q$7,IF(Q45=2,$Q$9,IF(Q45=3,$Q$11,IF(Q45=4,$Q$13,0)))))*24</f>
        <v>0</v>
      </c>
      <c r="AX45" s="0" t="n">
        <f aca="false">IF(R45=8,$AJ$17,IF(R45=1,$Q$7,IF(R45=2,$Q$9,IF(R45=3,$Q$11,IF(R45=4,$Q$13,0)))))*24</f>
        <v>0</v>
      </c>
      <c r="AY45" s="0" t="n">
        <f aca="false">IF(S45=8,$AJ$17,IF(S45=1,$Q$7,IF(S45=2,$Q$9,IF(S45=3,$Q$11,IF(S45=4,$Q$13,0)))))*24</f>
        <v>0</v>
      </c>
      <c r="AZ45" s="0" t="n">
        <f aca="false">IF(T45=8,$AJ$17,IF(T45=1,$Q$7,IF(T45=2,$Q$9,IF(T45=3,$Q$11,IF(T45=4,$Q$13,0)))))*24</f>
        <v>0</v>
      </c>
      <c r="BA45" s="0" t="n">
        <f aca="false">IF(U45=8,$AJ$17,IF(U45=1,$Q$7,IF(U45=2,$Q$9,IF(U45=3,$Q$11,IF(U45=4,$Q$13,0)))))*24</f>
        <v>0</v>
      </c>
      <c r="BB45" s="0" t="n">
        <f aca="false">IF(V45=8,$AJ$17,IF(V45=1,$Q$7,IF(V45=2,$Q$9,IF(V45=3,$Q$11,IF(V45=4,$Q$13,0)))))*24</f>
        <v>0</v>
      </c>
      <c r="BC45" s="0" t="n">
        <f aca="false">IF(W45=8,$AJ$17,IF(W45=1,$Q$7,IF(W45=2,$Q$9,IF(W45=3,$Q$11,IF(W45=4,$Q$13,0)))))*24</f>
        <v>0</v>
      </c>
      <c r="BD45" s="0" t="n">
        <f aca="false">IF(X45=8,$AJ$17,IF(X45=1,$Q$7,IF(X45=2,$Q$9,IF(X45=3,$Q$11,IF(X45=4,$Q$13,0)))))*24</f>
        <v>0</v>
      </c>
      <c r="BE45" s="0" t="n">
        <f aca="false">IF(Y45=8,$AJ$17,IF(Y45=1,$Q$7,IF(Y45=2,$Q$9,IF(Y45=3,$Q$11,IF(Y45=4,$Q$13,0)))))*24</f>
        <v>0</v>
      </c>
      <c r="BF45" s="0" t="n">
        <f aca="false">IF(Z45=8,$AJ$17,IF(Z45=1,$Q$7,IF(Z45=2,$Q$9,IF(Z45=3,$Q$11,IF(Z45=4,$Q$13,0)))))*24</f>
        <v>0</v>
      </c>
      <c r="BG45" s="0" t="n">
        <f aca="false">IF(AA45=8,$AJ$17,IF(AA45=1,$Q$7,IF(AA45=2,$Q$9,IF(AA45=3,$Q$11,IF(AA45=4,$Q$13,0)))))*24</f>
        <v>0</v>
      </c>
      <c r="BH45" s="0" t="n">
        <f aca="false">IF(AB45=8,$AJ$17,IF(AB45=1,$Q$7,IF(AB45=2,$Q$9,IF(AB45=3,$Q$11,IF(AB45=4,$Q$13,0)))))*24</f>
        <v>0</v>
      </c>
      <c r="BI45" s="0" t="n">
        <f aca="false">IF(AC45=8,$AJ$17,IF(AC45=1,$Q$7,IF(AC45=2,$Q$9,IF(AC45=3,$Q$11,IF(AC45=4,$Q$13,0)))))*24</f>
        <v>0</v>
      </c>
      <c r="BJ45" s="0" t="n">
        <f aca="false">IF(AD45=8,$AJ$17,IF(AD45=1,$Q$7,IF(AD45=2,$Q$9,IF(AD45=3,$Q$11,IF(AD45=4,$Q$13,0)))))*24</f>
        <v>0</v>
      </c>
      <c r="BK45" s="0" t="n">
        <f aca="false">IF(AE45=8,$AJ$17,IF(AE45=1,$Q$7,IF(AE45=2,$Q$9,IF(AE45=3,$Q$11,IF(AE45=4,$Q$13,0)))))*24</f>
        <v>0</v>
      </c>
      <c r="BL45" s="0" t="n">
        <f aca="false">IF(AF45=8,$AJ$17,IF(AF45=1,$Q$7,IF(AF45=2,$Q$9,IF(AF45=3,$Q$11,IF(AF45=4,$Q$13,0)))))*24</f>
        <v>0</v>
      </c>
      <c r="BM45" s="0" t="n">
        <f aca="false">IF(AG45=8,$AJ$17,IF(AG45=1,$Q$7,IF(AG45=2,$Q$9,IF(AG45=3,$Q$11,IF(AG45=4,$Q$13,0)))))*24</f>
        <v>0</v>
      </c>
    </row>
    <row r="46" customFormat="false" ht="15" hidden="false" customHeight="true" outlineLevel="0" collapsed="false">
      <c r="B46" s="461"/>
      <c r="C46" s="524" t="n">
        <f aca="false">SUM(AJ46:BM46)</f>
        <v>0</v>
      </c>
      <c r="D46" s="518"/>
      <c r="E46" s="452"/>
      <c r="F46" s="452"/>
      <c r="G46" s="452"/>
      <c r="H46" s="452"/>
      <c r="I46" s="452"/>
      <c r="J46" s="452"/>
      <c r="K46" s="452"/>
      <c r="L46" s="452"/>
      <c r="M46" s="452"/>
      <c r="N46" s="452"/>
      <c r="O46" s="452"/>
      <c r="P46" s="452"/>
      <c r="Q46" s="452"/>
      <c r="R46" s="452"/>
      <c r="S46" s="452"/>
      <c r="T46" s="452"/>
      <c r="U46" s="452"/>
      <c r="V46" s="452"/>
      <c r="W46" s="452"/>
      <c r="X46" s="452"/>
      <c r="Y46" s="452"/>
      <c r="Z46" s="452"/>
      <c r="AA46" s="452"/>
      <c r="AB46" s="452"/>
      <c r="AC46" s="452"/>
      <c r="AD46" s="452"/>
      <c r="AE46" s="452"/>
      <c r="AF46" s="452"/>
      <c r="AG46" s="520"/>
      <c r="AJ46" s="0" t="n">
        <f aca="false">IF(D46=8,$AJ$17,IF(D46=1,$Q$7,IF(D46=2,$Q$9,IF(D46=3,$Q$11,IF(D46=4,$Q$13,0)))))*24</f>
        <v>0</v>
      </c>
      <c r="AK46" s="0" t="n">
        <f aca="false">IF(E46=8,$AJ$17,IF(E46=1,$Q$7,IF(E46=2,$Q$9,IF(E46=3,$Q$11,IF(E46=4,$Q$13,0)))))*24</f>
        <v>0</v>
      </c>
      <c r="AL46" s="0" t="n">
        <f aca="false">IF(F46=8,$AJ$17,IF(F46=1,$Q$7,IF(F46=2,$Q$9,IF(F46=3,$Q$11,IF(F46=4,$Q$13,0)))))*24</f>
        <v>0</v>
      </c>
      <c r="AM46" s="0" t="n">
        <f aca="false">IF(G46=8,$AJ$17,IF(G46=1,$Q$7,IF(G46=2,$Q$9,IF(G46=3,$Q$11,IF(G46=4,$Q$13,0)))))*24</f>
        <v>0</v>
      </c>
      <c r="AN46" s="0" t="n">
        <f aca="false">IF(H46=8,$AJ$17,IF(H46=1,$Q$7,IF(H46=2,$Q$9,IF(H46=3,$Q$11,IF(H46=4,$Q$13,0)))))*24</f>
        <v>0</v>
      </c>
      <c r="AO46" s="0" t="n">
        <f aca="false">IF(I46=8,$AJ$17,IF(I46=1,$Q$7,IF(I46=2,$Q$9,IF(I46=3,$Q$11,IF(I46=4,$Q$13,0)))))*24</f>
        <v>0</v>
      </c>
      <c r="AP46" s="0" t="n">
        <f aca="false">IF(J46=8,$AJ$17,IF(J46=1,$Q$7,IF(J46=2,$Q$9,IF(J46=3,$Q$11,IF(J46=4,$Q$13,0)))))*24</f>
        <v>0</v>
      </c>
      <c r="AQ46" s="0" t="n">
        <f aca="false">IF(K46=8,$AJ$17,IF(K46=1,$Q$7,IF(K46=2,$Q$9,IF(K46=3,$Q$11,IF(K46=4,$Q$13,0)))))*24</f>
        <v>0</v>
      </c>
      <c r="AR46" s="0" t="n">
        <f aca="false">IF(L46=8,$AJ$17,IF(L46=1,$Q$7,IF(L46=2,$Q$9,IF(L46=3,$Q$11,IF(L46=4,$Q$13,0)))))*24</f>
        <v>0</v>
      </c>
      <c r="AS46" s="0" t="n">
        <f aca="false">IF(M46=8,$AJ$17,IF(M46=1,$Q$7,IF(M46=2,$Q$9,IF(M46=3,$Q$11,IF(M46=4,$Q$13,0)))))*24</f>
        <v>0</v>
      </c>
      <c r="AT46" s="0" t="n">
        <f aca="false">IF(N46=8,$AJ$17,IF(N46=1,$Q$7,IF(N46=2,$Q$9,IF(N46=3,$Q$11,IF(N46=4,$Q$13,0)))))*24</f>
        <v>0</v>
      </c>
      <c r="AU46" s="0" t="n">
        <f aca="false">IF(O46=8,$AJ$17,IF(O46=1,$Q$7,IF(O46=2,$Q$9,IF(O46=3,$Q$11,IF(O46=4,$Q$13,0)))))*24</f>
        <v>0</v>
      </c>
      <c r="AV46" s="0" t="n">
        <f aca="false">IF(P46=8,$AJ$17,IF(P46=1,$Q$7,IF(P46=2,$Q$9,IF(P46=3,$Q$11,IF(P46=4,$Q$13,0)))))*24</f>
        <v>0</v>
      </c>
      <c r="AW46" s="0" t="n">
        <f aca="false">IF(Q46=8,$AJ$17,IF(Q46=1,$Q$7,IF(Q46=2,$Q$9,IF(Q46=3,$Q$11,IF(Q46=4,$Q$13,0)))))*24</f>
        <v>0</v>
      </c>
      <c r="AX46" s="0" t="n">
        <f aca="false">IF(R46=8,$AJ$17,IF(R46=1,$Q$7,IF(R46=2,$Q$9,IF(R46=3,$Q$11,IF(R46=4,$Q$13,0)))))*24</f>
        <v>0</v>
      </c>
      <c r="AY46" s="0" t="n">
        <f aca="false">IF(S46=8,$AJ$17,IF(S46=1,$Q$7,IF(S46=2,$Q$9,IF(S46=3,$Q$11,IF(S46=4,$Q$13,0)))))*24</f>
        <v>0</v>
      </c>
      <c r="AZ46" s="0" t="n">
        <f aca="false">IF(T46=8,$AJ$17,IF(T46=1,$Q$7,IF(T46=2,$Q$9,IF(T46=3,$Q$11,IF(T46=4,$Q$13,0)))))*24</f>
        <v>0</v>
      </c>
      <c r="BA46" s="0" t="n">
        <f aca="false">IF(U46=8,$AJ$17,IF(U46=1,$Q$7,IF(U46=2,$Q$9,IF(U46=3,$Q$11,IF(U46=4,$Q$13,0)))))*24</f>
        <v>0</v>
      </c>
      <c r="BB46" s="0" t="n">
        <f aca="false">IF(V46=8,$AJ$17,IF(V46=1,$Q$7,IF(V46=2,$Q$9,IF(V46=3,$Q$11,IF(V46=4,$Q$13,0)))))*24</f>
        <v>0</v>
      </c>
      <c r="BC46" s="0" t="n">
        <f aca="false">IF(W46=8,$AJ$17,IF(W46=1,$Q$7,IF(W46=2,$Q$9,IF(W46=3,$Q$11,IF(W46=4,$Q$13,0)))))*24</f>
        <v>0</v>
      </c>
      <c r="BD46" s="0" t="n">
        <f aca="false">IF(X46=8,$AJ$17,IF(X46=1,$Q$7,IF(X46=2,$Q$9,IF(X46=3,$Q$11,IF(X46=4,$Q$13,0)))))*24</f>
        <v>0</v>
      </c>
      <c r="BE46" s="0" t="n">
        <f aca="false">IF(Y46=8,$AJ$17,IF(Y46=1,$Q$7,IF(Y46=2,$Q$9,IF(Y46=3,$Q$11,IF(Y46=4,$Q$13,0)))))*24</f>
        <v>0</v>
      </c>
      <c r="BF46" s="0" t="n">
        <f aca="false">IF(Z46=8,$AJ$17,IF(Z46=1,$Q$7,IF(Z46=2,$Q$9,IF(Z46=3,$Q$11,IF(Z46=4,$Q$13,0)))))*24</f>
        <v>0</v>
      </c>
      <c r="BG46" s="0" t="n">
        <f aca="false">IF(AA46=8,$AJ$17,IF(AA46=1,$Q$7,IF(AA46=2,$Q$9,IF(AA46=3,$Q$11,IF(AA46=4,$Q$13,0)))))*24</f>
        <v>0</v>
      </c>
      <c r="BH46" s="0" t="n">
        <f aca="false">IF(AB46=8,$AJ$17,IF(AB46=1,$Q$7,IF(AB46=2,$Q$9,IF(AB46=3,$Q$11,IF(AB46=4,$Q$13,0)))))*24</f>
        <v>0</v>
      </c>
      <c r="BI46" s="0" t="n">
        <f aca="false">IF(AC46=8,$AJ$17,IF(AC46=1,$Q$7,IF(AC46=2,$Q$9,IF(AC46=3,$Q$11,IF(AC46=4,$Q$13,0)))))*24</f>
        <v>0</v>
      </c>
      <c r="BJ46" s="0" t="n">
        <f aca="false">IF(AD46=8,$AJ$17,IF(AD46=1,$Q$7,IF(AD46=2,$Q$9,IF(AD46=3,$Q$11,IF(AD46=4,$Q$13,0)))))*24</f>
        <v>0</v>
      </c>
      <c r="BK46" s="0" t="n">
        <f aca="false">IF(AE46=8,$AJ$17,IF(AE46=1,$Q$7,IF(AE46=2,$Q$9,IF(AE46=3,$Q$11,IF(AE46=4,$Q$13,0)))))*24</f>
        <v>0</v>
      </c>
      <c r="BL46" s="0" t="n">
        <f aca="false">IF(AF46=8,$AJ$17,IF(AF46=1,$Q$7,IF(AF46=2,$Q$9,IF(AF46=3,$Q$11,IF(AF46=4,$Q$13,0)))))*24</f>
        <v>0</v>
      </c>
      <c r="BM46" s="0" t="n">
        <f aca="false">IF(AG46=8,$AJ$17,IF(AG46=1,$Q$7,IF(AG46=2,$Q$9,IF(AG46=3,$Q$11,IF(AG46=4,$Q$13,0)))))*24</f>
        <v>0</v>
      </c>
    </row>
    <row r="47" customFormat="false" ht="15" hidden="false" customHeight="true" outlineLevel="0" collapsed="false">
      <c r="B47" s="461"/>
      <c r="C47" s="524" t="n">
        <f aca="false">SUM(AJ47:BM47)</f>
        <v>0</v>
      </c>
      <c r="D47" s="518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52"/>
      <c r="AA47" s="452"/>
      <c r="AB47" s="452"/>
      <c r="AC47" s="452"/>
      <c r="AD47" s="452"/>
      <c r="AE47" s="452"/>
      <c r="AF47" s="452"/>
      <c r="AG47" s="520"/>
      <c r="AJ47" s="0" t="n">
        <f aca="false">IF(D47=8,$AJ$17,IF(D47=1,$Q$7,IF(D47=2,$Q$9,IF(D47=3,$Q$11,IF(D47=4,$Q$13,0)))))*24</f>
        <v>0</v>
      </c>
      <c r="AK47" s="0" t="n">
        <f aca="false">IF(E47=8,$AJ$17,IF(E47=1,$Q$7,IF(E47=2,$Q$9,IF(E47=3,$Q$11,IF(E47=4,$Q$13,0)))))*24</f>
        <v>0</v>
      </c>
      <c r="AL47" s="0" t="n">
        <f aca="false">IF(F47=8,$AJ$17,IF(F47=1,$Q$7,IF(F47=2,$Q$9,IF(F47=3,$Q$11,IF(F47=4,$Q$13,0)))))*24</f>
        <v>0</v>
      </c>
      <c r="AM47" s="0" t="n">
        <f aca="false">IF(G47=8,$AJ$17,IF(G47=1,$Q$7,IF(G47=2,$Q$9,IF(G47=3,$Q$11,IF(G47=4,$Q$13,0)))))*24</f>
        <v>0</v>
      </c>
      <c r="AN47" s="0" t="n">
        <f aca="false">IF(H47=8,$AJ$17,IF(H47=1,$Q$7,IF(H47=2,$Q$9,IF(H47=3,$Q$11,IF(H47=4,$Q$13,0)))))*24</f>
        <v>0</v>
      </c>
      <c r="AO47" s="0" t="n">
        <f aca="false">IF(I47=8,$AJ$17,IF(I47=1,$Q$7,IF(I47=2,$Q$9,IF(I47=3,$Q$11,IF(I47=4,$Q$13,0)))))*24</f>
        <v>0</v>
      </c>
      <c r="AP47" s="0" t="n">
        <f aca="false">IF(J47=8,$AJ$17,IF(J47=1,$Q$7,IF(J47=2,$Q$9,IF(J47=3,$Q$11,IF(J47=4,$Q$13,0)))))*24</f>
        <v>0</v>
      </c>
      <c r="AQ47" s="0" t="n">
        <f aca="false">IF(K47=8,$AJ$17,IF(K47=1,$Q$7,IF(K47=2,$Q$9,IF(K47=3,$Q$11,IF(K47=4,$Q$13,0)))))*24</f>
        <v>0</v>
      </c>
      <c r="AR47" s="0" t="n">
        <f aca="false">IF(L47=8,$AJ$17,IF(L47=1,$Q$7,IF(L47=2,$Q$9,IF(L47=3,$Q$11,IF(L47=4,$Q$13,0)))))*24</f>
        <v>0</v>
      </c>
      <c r="AS47" s="0" t="n">
        <f aca="false">IF(M47=8,$AJ$17,IF(M47=1,$Q$7,IF(M47=2,$Q$9,IF(M47=3,$Q$11,IF(M47=4,$Q$13,0)))))*24</f>
        <v>0</v>
      </c>
      <c r="AT47" s="0" t="n">
        <f aca="false">IF(N47=8,$AJ$17,IF(N47=1,$Q$7,IF(N47=2,$Q$9,IF(N47=3,$Q$11,IF(N47=4,$Q$13,0)))))*24</f>
        <v>0</v>
      </c>
      <c r="AU47" s="0" t="n">
        <f aca="false">IF(O47=8,$AJ$17,IF(O47=1,$Q$7,IF(O47=2,$Q$9,IF(O47=3,$Q$11,IF(O47=4,$Q$13,0)))))*24</f>
        <v>0</v>
      </c>
      <c r="AV47" s="0" t="n">
        <f aca="false">IF(P47=8,$AJ$17,IF(P47=1,$Q$7,IF(P47=2,$Q$9,IF(P47=3,$Q$11,IF(P47=4,$Q$13,0)))))*24</f>
        <v>0</v>
      </c>
      <c r="AW47" s="0" t="n">
        <f aca="false">IF(Q47=8,$AJ$17,IF(Q47=1,$Q$7,IF(Q47=2,$Q$9,IF(Q47=3,$Q$11,IF(Q47=4,$Q$13,0)))))*24</f>
        <v>0</v>
      </c>
      <c r="AX47" s="0" t="n">
        <f aca="false">IF(R47=8,$AJ$17,IF(R47=1,$Q$7,IF(R47=2,$Q$9,IF(R47=3,$Q$11,IF(R47=4,$Q$13,0)))))*24</f>
        <v>0</v>
      </c>
      <c r="AY47" s="0" t="n">
        <f aca="false">IF(S47=8,$AJ$17,IF(S47=1,$Q$7,IF(S47=2,$Q$9,IF(S47=3,$Q$11,IF(S47=4,$Q$13,0)))))*24</f>
        <v>0</v>
      </c>
      <c r="AZ47" s="0" t="n">
        <f aca="false">IF(T47=8,$AJ$17,IF(T47=1,$Q$7,IF(T47=2,$Q$9,IF(T47=3,$Q$11,IF(T47=4,$Q$13,0)))))*24</f>
        <v>0</v>
      </c>
      <c r="BA47" s="0" t="n">
        <f aca="false">IF(U47=8,$AJ$17,IF(U47=1,$Q$7,IF(U47=2,$Q$9,IF(U47=3,$Q$11,IF(U47=4,$Q$13,0)))))*24</f>
        <v>0</v>
      </c>
      <c r="BB47" s="0" t="n">
        <f aca="false">IF(V47=8,$AJ$17,IF(V47=1,$Q$7,IF(V47=2,$Q$9,IF(V47=3,$Q$11,IF(V47=4,$Q$13,0)))))*24</f>
        <v>0</v>
      </c>
      <c r="BC47" s="0" t="n">
        <f aca="false">IF(W47=8,$AJ$17,IF(W47=1,$Q$7,IF(W47=2,$Q$9,IF(W47=3,$Q$11,IF(W47=4,$Q$13,0)))))*24</f>
        <v>0</v>
      </c>
      <c r="BD47" s="0" t="n">
        <f aca="false">IF(X47=8,$AJ$17,IF(X47=1,$Q$7,IF(X47=2,$Q$9,IF(X47=3,$Q$11,IF(X47=4,$Q$13,0)))))*24</f>
        <v>0</v>
      </c>
      <c r="BE47" s="0" t="n">
        <f aca="false">IF(Y47=8,$AJ$17,IF(Y47=1,$Q$7,IF(Y47=2,$Q$9,IF(Y47=3,$Q$11,IF(Y47=4,$Q$13,0)))))*24</f>
        <v>0</v>
      </c>
      <c r="BF47" s="0" t="n">
        <f aca="false">IF(Z47=8,$AJ$17,IF(Z47=1,$Q$7,IF(Z47=2,$Q$9,IF(Z47=3,$Q$11,IF(Z47=4,$Q$13,0)))))*24</f>
        <v>0</v>
      </c>
      <c r="BG47" s="0" t="n">
        <f aca="false">IF(AA47=8,$AJ$17,IF(AA47=1,$Q$7,IF(AA47=2,$Q$9,IF(AA47=3,$Q$11,IF(AA47=4,$Q$13,0)))))*24</f>
        <v>0</v>
      </c>
      <c r="BH47" s="0" t="n">
        <f aca="false">IF(AB47=8,$AJ$17,IF(AB47=1,$Q$7,IF(AB47=2,$Q$9,IF(AB47=3,$Q$11,IF(AB47=4,$Q$13,0)))))*24</f>
        <v>0</v>
      </c>
      <c r="BI47" s="0" t="n">
        <f aca="false">IF(AC47=8,$AJ$17,IF(AC47=1,$Q$7,IF(AC47=2,$Q$9,IF(AC47=3,$Q$11,IF(AC47=4,$Q$13,0)))))*24</f>
        <v>0</v>
      </c>
      <c r="BJ47" s="0" t="n">
        <f aca="false">IF(AD47=8,$AJ$17,IF(AD47=1,$Q$7,IF(AD47=2,$Q$9,IF(AD47=3,$Q$11,IF(AD47=4,$Q$13,0)))))*24</f>
        <v>0</v>
      </c>
      <c r="BK47" s="0" t="n">
        <f aca="false">IF(AE47=8,$AJ$17,IF(AE47=1,$Q$7,IF(AE47=2,$Q$9,IF(AE47=3,$Q$11,IF(AE47=4,$Q$13,0)))))*24</f>
        <v>0</v>
      </c>
      <c r="BL47" s="0" t="n">
        <f aca="false">IF(AF47=8,$AJ$17,IF(AF47=1,$Q$7,IF(AF47=2,$Q$9,IF(AF47=3,$Q$11,IF(AF47=4,$Q$13,0)))))*24</f>
        <v>0</v>
      </c>
      <c r="BM47" s="0" t="n">
        <f aca="false">IF(AG47=8,$AJ$17,IF(AG47=1,$Q$7,IF(AG47=2,$Q$9,IF(AG47=3,$Q$11,IF(AG47=4,$Q$13,0)))))*24</f>
        <v>0</v>
      </c>
    </row>
    <row r="48" customFormat="false" ht="15" hidden="false" customHeight="true" outlineLevel="0" collapsed="false">
      <c r="B48" s="461"/>
      <c r="C48" s="524" t="n">
        <f aca="false">SUM(AJ48:BM48)</f>
        <v>0</v>
      </c>
      <c r="D48" s="518"/>
      <c r="E48" s="452"/>
      <c r="F48" s="452"/>
      <c r="G48" s="452"/>
      <c r="H48" s="452"/>
      <c r="I48" s="452"/>
      <c r="J48" s="452"/>
      <c r="K48" s="452"/>
      <c r="L48" s="452"/>
      <c r="M48" s="452"/>
      <c r="N48" s="452"/>
      <c r="O48" s="452"/>
      <c r="P48" s="452"/>
      <c r="Q48" s="452"/>
      <c r="R48" s="452"/>
      <c r="S48" s="452"/>
      <c r="T48" s="452"/>
      <c r="U48" s="452"/>
      <c r="V48" s="452"/>
      <c r="W48" s="452"/>
      <c r="X48" s="452"/>
      <c r="Y48" s="452"/>
      <c r="Z48" s="452"/>
      <c r="AA48" s="452"/>
      <c r="AB48" s="452"/>
      <c r="AC48" s="452"/>
      <c r="AD48" s="452"/>
      <c r="AE48" s="452"/>
      <c r="AF48" s="452"/>
      <c r="AG48" s="520"/>
      <c r="AJ48" s="0" t="n">
        <f aca="false">IF(D48=8,$AJ$17,IF(D48=1,$Q$7,IF(D48=2,$Q$9,IF(D48=3,$Q$11,IF(D48=4,$Q$13,0)))))*24</f>
        <v>0</v>
      </c>
      <c r="AK48" s="0" t="n">
        <f aca="false">IF(E48=8,$AJ$17,IF(E48=1,$Q$7,IF(E48=2,$Q$9,IF(E48=3,$Q$11,IF(E48=4,$Q$13,0)))))*24</f>
        <v>0</v>
      </c>
      <c r="AL48" s="0" t="n">
        <f aca="false">IF(F48=8,$AJ$17,IF(F48=1,$Q$7,IF(F48=2,$Q$9,IF(F48=3,$Q$11,IF(F48=4,$Q$13,0)))))*24</f>
        <v>0</v>
      </c>
      <c r="AM48" s="0" t="n">
        <f aca="false">IF(G48=8,$AJ$17,IF(G48=1,$Q$7,IF(G48=2,$Q$9,IF(G48=3,$Q$11,IF(G48=4,$Q$13,0)))))*24</f>
        <v>0</v>
      </c>
      <c r="AN48" s="0" t="n">
        <f aca="false">IF(H48=8,$AJ$17,IF(H48=1,$Q$7,IF(H48=2,$Q$9,IF(H48=3,$Q$11,IF(H48=4,$Q$13,0)))))*24</f>
        <v>0</v>
      </c>
      <c r="AO48" s="0" t="n">
        <f aca="false">IF(I48=8,$AJ$17,IF(I48=1,$Q$7,IF(I48=2,$Q$9,IF(I48=3,$Q$11,IF(I48=4,$Q$13,0)))))*24</f>
        <v>0</v>
      </c>
      <c r="AP48" s="0" t="n">
        <f aca="false">IF(J48=8,$AJ$17,IF(J48=1,$Q$7,IF(J48=2,$Q$9,IF(J48=3,$Q$11,IF(J48=4,$Q$13,0)))))*24</f>
        <v>0</v>
      </c>
      <c r="AQ48" s="0" t="n">
        <f aca="false">IF(K48=8,$AJ$17,IF(K48=1,$Q$7,IF(K48=2,$Q$9,IF(K48=3,$Q$11,IF(K48=4,$Q$13,0)))))*24</f>
        <v>0</v>
      </c>
      <c r="AR48" s="0" t="n">
        <f aca="false">IF(L48=8,$AJ$17,IF(L48=1,$Q$7,IF(L48=2,$Q$9,IF(L48=3,$Q$11,IF(L48=4,$Q$13,0)))))*24</f>
        <v>0</v>
      </c>
      <c r="AS48" s="0" t="n">
        <f aca="false">IF(M48=8,$AJ$17,IF(M48=1,$Q$7,IF(M48=2,$Q$9,IF(M48=3,$Q$11,IF(M48=4,$Q$13,0)))))*24</f>
        <v>0</v>
      </c>
      <c r="AT48" s="0" t="n">
        <f aca="false">IF(N48=8,$AJ$17,IF(N48=1,$Q$7,IF(N48=2,$Q$9,IF(N48=3,$Q$11,IF(N48=4,$Q$13,0)))))*24</f>
        <v>0</v>
      </c>
      <c r="AU48" s="0" t="n">
        <f aca="false">IF(O48=8,$AJ$17,IF(O48=1,$Q$7,IF(O48=2,$Q$9,IF(O48=3,$Q$11,IF(O48=4,$Q$13,0)))))*24</f>
        <v>0</v>
      </c>
      <c r="AV48" s="0" t="n">
        <f aca="false">IF(P48=8,$AJ$17,IF(P48=1,$Q$7,IF(P48=2,$Q$9,IF(P48=3,$Q$11,IF(P48=4,$Q$13,0)))))*24</f>
        <v>0</v>
      </c>
      <c r="AW48" s="0" t="n">
        <f aca="false">IF(Q48=8,$AJ$17,IF(Q48=1,$Q$7,IF(Q48=2,$Q$9,IF(Q48=3,$Q$11,IF(Q48=4,$Q$13,0)))))*24</f>
        <v>0</v>
      </c>
      <c r="AX48" s="0" t="n">
        <f aca="false">IF(R48=8,$AJ$17,IF(R48=1,$Q$7,IF(R48=2,$Q$9,IF(R48=3,$Q$11,IF(R48=4,$Q$13,0)))))*24</f>
        <v>0</v>
      </c>
      <c r="AY48" s="0" t="n">
        <f aca="false">IF(S48=8,$AJ$17,IF(S48=1,$Q$7,IF(S48=2,$Q$9,IF(S48=3,$Q$11,IF(S48=4,$Q$13,0)))))*24</f>
        <v>0</v>
      </c>
      <c r="AZ48" s="0" t="n">
        <f aca="false">IF(T48=8,$AJ$17,IF(T48=1,$Q$7,IF(T48=2,$Q$9,IF(T48=3,$Q$11,IF(T48=4,$Q$13,0)))))*24</f>
        <v>0</v>
      </c>
      <c r="BA48" s="0" t="n">
        <f aca="false">IF(U48=8,$AJ$17,IF(U48=1,$Q$7,IF(U48=2,$Q$9,IF(U48=3,$Q$11,IF(U48=4,$Q$13,0)))))*24</f>
        <v>0</v>
      </c>
      <c r="BB48" s="0" t="n">
        <f aca="false">IF(V48=8,$AJ$17,IF(V48=1,$Q$7,IF(V48=2,$Q$9,IF(V48=3,$Q$11,IF(V48=4,$Q$13,0)))))*24</f>
        <v>0</v>
      </c>
      <c r="BC48" s="0" t="n">
        <f aca="false">IF(W48=8,$AJ$17,IF(W48=1,$Q$7,IF(W48=2,$Q$9,IF(W48=3,$Q$11,IF(W48=4,$Q$13,0)))))*24</f>
        <v>0</v>
      </c>
      <c r="BD48" s="0" t="n">
        <f aca="false">IF(X48=8,$AJ$17,IF(X48=1,$Q$7,IF(X48=2,$Q$9,IF(X48=3,$Q$11,IF(X48=4,$Q$13,0)))))*24</f>
        <v>0</v>
      </c>
      <c r="BE48" s="0" t="n">
        <f aca="false">IF(Y48=8,$AJ$17,IF(Y48=1,$Q$7,IF(Y48=2,$Q$9,IF(Y48=3,$Q$11,IF(Y48=4,$Q$13,0)))))*24</f>
        <v>0</v>
      </c>
      <c r="BF48" s="0" t="n">
        <f aca="false">IF(Z48=8,$AJ$17,IF(Z48=1,$Q$7,IF(Z48=2,$Q$9,IF(Z48=3,$Q$11,IF(Z48=4,$Q$13,0)))))*24</f>
        <v>0</v>
      </c>
      <c r="BG48" s="0" t="n">
        <f aca="false">IF(AA48=8,$AJ$17,IF(AA48=1,$Q$7,IF(AA48=2,$Q$9,IF(AA48=3,$Q$11,IF(AA48=4,$Q$13,0)))))*24</f>
        <v>0</v>
      </c>
      <c r="BH48" s="0" t="n">
        <f aca="false">IF(AB48=8,$AJ$17,IF(AB48=1,$Q$7,IF(AB48=2,$Q$9,IF(AB48=3,$Q$11,IF(AB48=4,$Q$13,0)))))*24</f>
        <v>0</v>
      </c>
      <c r="BI48" s="0" t="n">
        <f aca="false">IF(AC48=8,$AJ$17,IF(AC48=1,$Q$7,IF(AC48=2,$Q$9,IF(AC48=3,$Q$11,IF(AC48=4,$Q$13,0)))))*24</f>
        <v>0</v>
      </c>
      <c r="BJ48" s="0" t="n">
        <f aca="false">IF(AD48=8,$AJ$17,IF(AD48=1,$Q$7,IF(AD48=2,$Q$9,IF(AD48=3,$Q$11,IF(AD48=4,$Q$13,0)))))*24</f>
        <v>0</v>
      </c>
      <c r="BK48" s="0" t="n">
        <f aca="false">IF(AE48=8,$AJ$17,IF(AE48=1,$Q$7,IF(AE48=2,$Q$9,IF(AE48=3,$Q$11,IF(AE48=4,$Q$13,0)))))*24</f>
        <v>0</v>
      </c>
      <c r="BL48" s="0" t="n">
        <f aca="false">IF(AF48=8,$AJ$17,IF(AF48=1,$Q$7,IF(AF48=2,$Q$9,IF(AF48=3,$Q$11,IF(AF48=4,$Q$13,0)))))*24</f>
        <v>0</v>
      </c>
      <c r="BM48" s="0" t="n">
        <f aca="false">IF(AG48=8,$AJ$17,IF(AG48=1,$Q$7,IF(AG48=2,$Q$9,IF(AG48=3,$Q$11,IF(AG48=4,$Q$13,0)))))*24</f>
        <v>0</v>
      </c>
    </row>
    <row r="49" customFormat="false" ht="13.8" hidden="false" customHeight="false" outlineLevel="0" collapsed="false">
      <c r="B49" s="461"/>
      <c r="C49" s="524" t="n">
        <f aca="false">SUM(AJ49:BM49)</f>
        <v>0</v>
      </c>
      <c r="D49" s="518"/>
      <c r="E49" s="525"/>
      <c r="F49" s="525"/>
      <c r="G49" s="525"/>
      <c r="H49" s="525"/>
      <c r="I49" s="525"/>
      <c r="J49" s="525"/>
      <c r="K49" s="525"/>
      <c r="L49" s="525"/>
      <c r="M49" s="525"/>
      <c r="N49" s="525"/>
      <c r="O49" s="525"/>
      <c r="P49" s="525"/>
      <c r="Q49" s="525"/>
      <c r="R49" s="525"/>
      <c r="S49" s="525"/>
      <c r="T49" s="525"/>
      <c r="U49" s="525"/>
      <c r="V49" s="525"/>
      <c r="W49" s="525"/>
      <c r="X49" s="525"/>
      <c r="Y49" s="525"/>
      <c r="Z49" s="525"/>
      <c r="AA49" s="525"/>
      <c r="AB49" s="525"/>
      <c r="AC49" s="525"/>
      <c r="AD49" s="525"/>
      <c r="AE49" s="525"/>
      <c r="AF49" s="525"/>
      <c r="AG49" s="526"/>
      <c r="AJ49" s="0" t="n">
        <f aca="false">IF(D49=8,$AJ$17,IF(D49=1,$Q$7,IF(D49=2,$Q$9,IF(D49=3,$Q$11,IF(D49=4,$Q$13,0)))))*24</f>
        <v>0</v>
      </c>
      <c r="AK49" s="0" t="n">
        <f aca="false">IF(E49=8,$AJ$17,IF(E49=1,$Q$7,IF(E49=2,$Q$9,IF(E49=3,$Q$11,IF(E49=4,$Q$13,0)))))*24</f>
        <v>0</v>
      </c>
      <c r="AL49" s="0" t="n">
        <f aca="false">IF(F49=8,$AJ$17,IF(F49=1,$Q$7,IF(F49=2,$Q$9,IF(F49=3,$Q$11,IF(F49=4,$Q$13,0)))))*24</f>
        <v>0</v>
      </c>
      <c r="AM49" s="0" t="n">
        <f aca="false">IF(G49=8,$AJ$17,IF(G49=1,$Q$7,IF(G49=2,$Q$9,IF(G49=3,$Q$11,IF(G49=4,$Q$13,0)))))*24</f>
        <v>0</v>
      </c>
      <c r="AN49" s="0" t="n">
        <f aca="false">IF(H49=8,$AJ$17,IF(H49=1,$Q$7,IF(H49=2,$Q$9,IF(H49=3,$Q$11,IF(H49=4,$Q$13,0)))))*24</f>
        <v>0</v>
      </c>
      <c r="AO49" s="0" t="n">
        <f aca="false">IF(I49=8,$AJ$17,IF(I49=1,$Q$7,IF(I49=2,$Q$9,IF(I49=3,$Q$11,IF(I49=4,$Q$13,0)))))*24</f>
        <v>0</v>
      </c>
      <c r="AP49" s="0" t="n">
        <f aca="false">IF(J49=8,$AJ$17,IF(J49=1,$Q$7,IF(J49=2,$Q$9,IF(J49=3,$Q$11,IF(J49=4,$Q$13,0)))))*24</f>
        <v>0</v>
      </c>
      <c r="AQ49" s="0" t="n">
        <f aca="false">IF(K49=8,$AJ$17,IF(K49=1,$Q$7,IF(K49=2,$Q$9,IF(K49=3,$Q$11,IF(K49=4,$Q$13,0)))))*24</f>
        <v>0</v>
      </c>
      <c r="AR49" s="0" t="n">
        <f aca="false">IF(L49=8,$AJ$17,IF(L49=1,$Q$7,IF(L49=2,$Q$9,IF(L49=3,$Q$11,IF(L49=4,$Q$13,0)))))*24</f>
        <v>0</v>
      </c>
      <c r="AS49" s="0" t="n">
        <f aca="false">IF(M49=8,$AJ$17,IF(M49=1,$Q$7,IF(M49=2,$Q$9,IF(M49=3,$Q$11,IF(M49=4,$Q$13,0)))))*24</f>
        <v>0</v>
      </c>
      <c r="AT49" s="0" t="n">
        <f aca="false">IF(N49=8,$AJ$17,IF(N49=1,$Q$7,IF(N49=2,$Q$9,IF(N49=3,$Q$11,IF(N49=4,$Q$13,0)))))*24</f>
        <v>0</v>
      </c>
      <c r="AU49" s="0" t="n">
        <f aca="false">IF(O49=8,$AJ$17,IF(O49=1,$Q$7,IF(O49=2,$Q$9,IF(O49=3,$Q$11,IF(O49=4,$Q$13,0)))))*24</f>
        <v>0</v>
      </c>
      <c r="AV49" s="0" t="n">
        <f aca="false">IF(P49=8,$AJ$17,IF(P49=1,$Q$7,IF(P49=2,$Q$9,IF(P49=3,$Q$11,IF(P49=4,$Q$13,0)))))*24</f>
        <v>0</v>
      </c>
      <c r="AW49" s="0" t="n">
        <f aca="false">IF(Q49=8,$AJ$17,IF(Q49=1,$Q$7,IF(Q49=2,$Q$9,IF(Q49=3,$Q$11,IF(Q49=4,$Q$13,0)))))*24</f>
        <v>0</v>
      </c>
      <c r="AX49" s="0" t="n">
        <f aca="false">IF(R49=8,$AJ$17,IF(R49=1,$Q$7,IF(R49=2,$Q$9,IF(R49=3,$Q$11,IF(R49=4,$Q$13,0)))))*24</f>
        <v>0</v>
      </c>
      <c r="AY49" s="0" t="n">
        <f aca="false">IF(S49=8,$AJ$17,IF(S49=1,$Q$7,IF(S49=2,$Q$9,IF(S49=3,$Q$11,IF(S49=4,$Q$13,0)))))*24</f>
        <v>0</v>
      </c>
      <c r="AZ49" s="0" t="n">
        <f aca="false">IF(T49=8,$AJ$17,IF(T49=1,$Q$7,IF(T49=2,$Q$9,IF(T49=3,$Q$11,IF(T49=4,$Q$13,0)))))*24</f>
        <v>0</v>
      </c>
      <c r="BA49" s="0" t="n">
        <f aca="false">IF(U49=8,$AJ$17,IF(U49=1,$Q$7,IF(U49=2,$Q$9,IF(U49=3,$Q$11,IF(U49=4,$Q$13,0)))))*24</f>
        <v>0</v>
      </c>
      <c r="BB49" s="0" t="n">
        <f aca="false">IF(V49=8,$AJ$17,IF(V49=1,$Q$7,IF(V49=2,$Q$9,IF(V49=3,$Q$11,IF(V49=4,$Q$13,0)))))*24</f>
        <v>0</v>
      </c>
      <c r="BC49" s="0" t="n">
        <f aca="false">IF(W49=8,$AJ$17,IF(W49=1,$Q$7,IF(W49=2,$Q$9,IF(W49=3,$Q$11,IF(W49=4,$Q$13,0)))))*24</f>
        <v>0</v>
      </c>
      <c r="BD49" s="0" t="n">
        <f aca="false">IF(X49=8,$AJ$17,IF(X49=1,$Q$7,IF(X49=2,$Q$9,IF(X49=3,$Q$11,IF(X49=4,$Q$13,0)))))*24</f>
        <v>0</v>
      </c>
      <c r="BE49" s="0" t="n">
        <f aca="false">IF(Y49=8,$AJ$17,IF(Y49=1,$Q$7,IF(Y49=2,$Q$9,IF(Y49=3,$Q$11,IF(Y49=4,$Q$13,0)))))*24</f>
        <v>0</v>
      </c>
      <c r="BF49" s="0" t="n">
        <f aca="false">IF(Z49=8,$AJ$17,IF(Z49=1,$Q$7,IF(Z49=2,$Q$9,IF(Z49=3,$Q$11,IF(Z49=4,$Q$13,0)))))*24</f>
        <v>0</v>
      </c>
      <c r="BG49" s="0" t="n">
        <f aca="false">IF(AA49=8,$AJ$17,IF(AA49=1,$Q$7,IF(AA49=2,$Q$9,IF(AA49=3,$Q$11,IF(AA49=4,$Q$13,0)))))*24</f>
        <v>0</v>
      </c>
      <c r="BH49" s="0" t="n">
        <f aca="false">IF(AB49=8,$AJ$17,IF(AB49=1,$Q$7,IF(AB49=2,$Q$9,IF(AB49=3,$Q$11,IF(AB49=4,$Q$13,0)))))*24</f>
        <v>0</v>
      </c>
      <c r="BI49" s="0" t="n">
        <f aca="false">IF(AC49=8,$AJ$17,IF(AC49=1,$Q$7,IF(AC49=2,$Q$9,IF(AC49=3,$Q$11,IF(AC49=4,$Q$13,0)))))*24</f>
        <v>0</v>
      </c>
      <c r="BJ49" s="0" t="n">
        <f aca="false">IF(AD49=8,$AJ$17,IF(AD49=1,$Q$7,IF(AD49=2,$Q$9,IF(AD49=3,$Q$11,IF(AD49=4,$Q$13,0)))))*24</f>
        <v>0</v>
      </c>
      <c r="BK49" s="0" t="n">
        <f aca="false">IF(AE49=8,$AJ$17,IF(AE49=1,$Q$7,IF(AE49=2,$Q$9,IF(AE49=3,$Q$11,IF(AE49=4,$Q$13,0)))))*24</f>
        <v>0</v>
      </c>
      <c r="BL49" s="0" t="n">
        <f aca="false">IF(AF49=8,$AJ$17,IF(AF49=1,$Q$7,IF(AF49=2,$Q$9,IF(AF49=3,$Q$11,IF(AF49=4,$Q$13,0)))))*24</f>
        <v>0</v>
      </c>
      <c r="BM49" s="0" t="n">
        <f aca="false">IF(AG49=8,$AJ$17,IF(AG49=1,$Q$7,IF(AG49=2,$Q$9,IF(AG49=3,$Q$11,IF(AG49=4,$Q$13,0)))))*24</f>
        <v>0</v>
      </c>
    </row>
    <row r="50" customFormat="false" ht="13.8" hidden="false" customHeight="false" outlineLevel="0" collapsed="false">
      <c r="B50" s="527" t="s">
        <v>354</v>
      </c>
      <c r="C50" s="514"/>
      <c r="D50" s="528" t="n">
        <f aca="false">COUNTIF(D20:D49,1)</f>
        <v>3</v>
      </c>
      <c r="E50" s="529" t="n">
        <f aca="false">COUNTIF(E20:E49,1)</f>
        <v>3</v>
      </c>
      <c r="F50" s="529" t="n">
        <f aca="false">COUNTIF(F20:F49,1)</f>
        <v>3</v>
      </c>
      <c r="G50" s="529" t="n">
        <f aca="false">COUNTIF(G20:G49,1)</f>
        <v>3</v>
      </c>
      <c r="H50" s="529" t="n">
        <f aca="false">COUNTIF(H20:H49,1)</f>
        <v>3</v>
      </c>
      <c r="I50" s="529" t="n">
        <f aca="false">COUNTIF(I20:I49,1)</f>
        <v>3</v>
      </c>
      <c r="J50" s="529" t="n">
        <f aca="false">COUNTIF(J20:J49,1)</f>
        <v>3</v>
      </c>
      <c r="K50" s="529" t="n">
        <f aca="false">COUNTIF(K20:K49,1)</f>
        <v>3</v>
      </c>
      <c r="L50" s="529" t="n">
        <f aca="false">COUNTIF(L20:L49,1)</f>
        <v>3</v>
      </c>
      <c r="M50" s="529" t="n">
        <f aca="false">COUNTIF(M20:M49,1)</f>
        <v>3</v>
      </c>
      <c r="N50" s="529" t="n">
        <f aca="false">COUNTIF(N20:N49,1)</f>
        <v>3</v>
      </c>
      <c r="O50" s="529" t="n">
        <f aca="false">COUNTIF(O20:O49,1)</f>
        <v>3</v>
      </c>
      <c r="P50" s="529" t="n">
        <f aca="false">COUNTIF(P20:P49,1)</f>
        <v>3</v>
      </c>
      <c r="Q50" s="529" t="n">
        <f aca="false">COUNTIF(Q20:Q49,1)</f>
        <v>3</v>
      </c>
      <c r="R50" s="529" t="n">
        <f aca="false">COUNTIF(R20:R49,1)</f>
        <v>3</v>
      </c>
      <c r="S50" s="529" t="n">
        <f aca="false">COUNTIF(S20:S49,1)</f>
        <v>3</v>
      </c>
      <c r="T50" s="529" t="n">
        <f aca="false">COUNTIF(T20:T49,1)</f>
        <v>3</v>
      </c>
      <c r="U50" s="529" t="n">
        <f aca="false">COUNTIF(U20:U49,1)</f>
        <v>3</v>
      </c>
      <c r="V50" s="529" t="n">
        <f aca="false">COUNTIF(V20:V49,1)</f>
        <v>3</v>
      </c>
      <c r="W50" s="529" t="n">
        <f aca="false">COUNTIF(W20:W49,1)</f>
        <v>3</v>
      </c>
      <c r="X50" s="529" t="n">
        <f aca="false">COUNTIF(X20:X49,1)</f>
        <v>3</v>
      </c>
      <c r="Y50" s="529" t="n">
        <f aca="false">COUNTIF(Y20:Y49,1)</f>
        <v>3</v>
      </c>
      <c r="Z50" s="529" t="n">
        <f aca="false">COUNTIF(Z20:Z49,1)</f>
        <v>3</v>
      </c>
      <c r="AA50" s="529" t="n">
        <f aca="false">COUNTIF(AA20:AA49,1)</f>
        <v>3</v>
      </c>
      <c r="AB50" s="529" t="n">
        <f aca="false">COUNTIF(AB20:AB49,1)</f>
        <v>3</v>
      </c>
      <c r="AC50" s="529" t="n">
        <f aca="false">COUNTIF(AC20:AC49,1)</f>
        <v>3</v>
      </c>
      <c r="AD50" s="529" t="n">
        <f aca="false">COUNTIF(AD20:AD49,1)</f>
        <v>3</v>
      </c>
      <c r="AE50" s="529" t="n">
        <f aca="false">COUNTIF(AE20:AE49,1)</f>
        <v>3</v>
      </c>
      <c r="AF50" s="529" t="n">
        <f aca="false">COUNTIF(AF20:AF49,1)</f>
        <v>3</v>
      </c>
      <c r="AG50" s="530" t="n">
        <f aca="false">COUNTIF(AG20:AG49,1)</f>
        <v>3</v>
      </c>
    </row>
    <row r="51" customFormat="false" ht="13.8" hidden="false" customHeight="false" outlineLevel="0" collapsed="false">
      <c r="B51" s="531" t="s">
        <v>355</v>
      </c>
      <c r="C51" s="517"/>
      <c r="D51" s="532" t="n">
        <f aca="false">COUNTIF(D20:D49,2)</f>
        <v>0</v>
      </c>
      <c r="E51" s="533" t="n">
        <f aca="false">COUNTIF(E20:E49,2)</f>
        <v>0</v>
      </c>
      <c r="F51" s="533" t="n">
        <f aca="false">COUNTIF(F20:F49,2)</f>
        <v>0</v>
      </c>
      <c r="G51" s="533" t="n">
        <f aca="false">COUNTIF(G20:G49,2)</f>
        <v>0</v>
      </c>
      <c r="H51" s="533" t="n">
        <f aca="false">COUNTIF(H20:H49,2)</f>
        <v>0</v>
      </c>
      <c r="I51" s="533" t="n">
        <f aca="false">COUNTIF(I20:I49,2)</f>
        <v>0</v>
      </c>
      <c r="J51" s="533" t="n">
        <f aca="false">COUNTIF(J20:J49,2)</f>
        <v>0</v>
      </c>
      <c r="K51" s="533" t="n">
        <f aca="false">COUNTIF(K20:K49,2)</f>
        <v>0</v>
      </c>
      <c r="L51" s="533" t="n">
        <f aca="false">COUNTIF(L20:L49,2)</f>
        <v>0</v>
      </c>
      <c r="M51" s="533" t="n">
        <f aca="false">COUNTIF(M20:M49,2)</f>
        <v>0</v>
      </c>
      <c r="N51" s="533" t="n">
        <f aca="false">COUNTIF(N20:N49,2)</f>
        <v>0</v>
      </c>
      <c r="O51" s="533" t="n">
        <f aca="false">COUNTIF(O20:O49,2)</f>
        <v>0</v>
      </c>
      <c r="P51" s="533" t="n">
        <f aca="false">COUNTIF(P20:P49,2)</f>
        <v>0</v>
      </c>
      <c r="Q51" s="533" t="n">
        <f aca="false">COUNTIF(Q20:Q49,2)</f>
        <v>0</v>
      </c>
      <c r="R51" s="533" t="n">
        <f aca="false">COUNTIF(R20:R49,2)</f>
        <v>0</v>
      </c>
      <c r="S51" s="533" t="n">
        <f aca="false">COUNTIF(S20:S49,2)</f>
        <v>0</v>
      </c>
      <c r="T51" s="533" t="n">
        <f aca="false">COUNTIF(T20:T49,2)</f>
        <v>0</v>
      </c>
      <c r="U51" s="533" t="n">
        <f aca="false">COUNTIF(U20:U49,2)</f>
        <v>0</v>
      </c>
      <c r="V51" s="533" t="n">
        <f aca="false">COUNTIF(V20:V49,2)</f>
        <v>0</v>
      </c>
      <c r="W51" s="533" t="n">
        <f aca="false">COUNTIF(W20:W49,2)</f>
        <v>0</v>
      </c>
      <c r="X51" s="533" t="n">
        <f aca="false">COUNTIF(X20:X49,2)</f>
        <v>0</v>
      </c>
      <c r="Y51" s="533" t="n">
        <f aca="false">COUNTIF(Y20:Y49,2)</f>
        <v>0</v>
      </c>
      <c r="Z51" s="533" t="n">
        <f aca="false">COUNTIF(Z20:Z49,2)</f>
        <v>0</v>
      </c>
      <c r="AA51" s="533" t="n">
        <f aca="false">COUNTIF(AA20:AA49,2)</f>
        <v>0</v>
      </c>
      <c r="AB51" s="533" t="n">
        <f aca="false">COUNTIF(AB20:AB49,2)</f>
        <v>0</v>
      </c>
      <c r="AC51" s="533" t="n">
        <f aca="false">COUNTIF(AC20:AC49,2)</f>
        <v>0</v>
      </c>
      <c r="AD51" s="533" t="n">
        <f aca="false">COUNTIF(AD20:AD49,2)</f>
        <v>0</v>
      </c>
      <c r="AE51" s="533" t="n">
        <f aca="false">COUNTIF(AE20:AE49,2)</f>
        <v>0</v>
      </c>
      <c r="AF51" s="533" t="n">
        <f aca="false">COUNTIF(AF20:AF49,2)</f>
        <v>0</v>
      </c>
      <c r="AG51" s="534" t="n">
        <f aca="false">COUNTIF(AG20:AG49,2)</f>
        <v>0</v>
      </c>
    </row>
    <row r="52" customFormat="false" ht="13.8" hidden="false" customHeight="false" outlineLevel="0" collapsed="false">
      <c r="B52" s="535" t="s">
        <v>356</v>
      </c>
      <c r="C52" s="536"/>
      <c r="D52" s="537" t="n">
        <f aca="false">COUNTIF(D20:D49,3)</f>
        <v>0</v>
      </c>
      <c r="E52" s="538" t="n">
        <f aca="false">COUNTIF(E20:E49,3)</f>
        <v>0</v>
      </c>
      <c r="F52" s="538" t="n">
        <f aca="false">COUNTIF(F20:F49,3)</f>
        <v>0</v>
      </c>
      <c r="G52" s="538" t="n">
        <f aca="false">COUNTIF(G20:G49,3)</f>
        <v>0</v>
      </c>
      <c r="H52" s="538" t="n">
        <f aca="false">COUNTIF(H20:H49,3)</f>
        <v>0</v>
      </c>
      <c r="I52" s="538" t="n">
        <f aca="false">COUNTIF(I20:I49,3)</f>
        <v>0</v>
      </c>
      <c r="J52" s="538" t="n">
        <f aca="false">COUNTIF(J20:J49,3)</f>
        <v>0</v>
      </c>
      <c r="K52" s="538" t="n">
        <f aca="false">COUNTIF(K20:K49,3)</f>
        <v>0</v>
      </c>
      <c r="L52" s="538" t="n">
        <f aca="false">COUNTIF(L20:L49,3)</f>
        <v>0</v>
      </c>
      <c r="M52" s="538" t="n">
        <f aca="false">COUNTIF(M20:M49,3)</f>
        <v>0</v>
      </c>
      <c r="N52" s="538" t="n">
        <f aca="false">COUNTIF(N20:N49,3)</f>
        <v>0</v>
      </c>
      <c r="O52" s="538" t="n">
        <f aca="false">COUNTIF(O20:O49,3)</f>
        <v>0</v>
      </c>
      <c r="P52" s="538" t="n">
        <f aca="false">COUNTIF(P20:P49,3)</f>
        <v>0</v>
      </c>
      <c r="Q52" s="538" t="n">
        <f aca="false">COUNTIF(Q20:Q49,3)</f>
        <v>0</v>
      </c>
      <c r="R52" s="538" t="n">
        <f aca="false">COUNTIF(R20:R49,3)</f>
        <v>0</v>
      </c>
      <c r="S52" s="538" t="n">
        <f aca="false">COUNTIF(S20:S49,3)</f>
        <v>0</v>
      </c>
      <c r="T52" s="538" t="n">
        <f aca="false">COUNTIF(T20:T49,3)</f>
        <v>0</v>
      </c>
      <c r="U52" s="538" t="n">
        <f aca="false">COUNTIF(U20:U49,3)</f>
        <v>0</v>
      </c>
      <c r="V52" s="538" t="n">
        <f aca="false">COUNTIF(V20:V49,3)</f>
        <v>0</v>
      </c>
      <c r="W52" s="538" t="n">
        <f aca="false">COUNTIF(W20:W49,3)</f>
        <v>0</v>
      </c>
      <c r="X52" s="538" t="n">
        <f aca="false">COUNTIF(X20:X49,3)</f>
        <v>0</v>
      </c>
      <c r="Y52" s="538" t="n">
        <f aca="false">COUNTIF(Y20:Y49,3)</f>
        <v>0</v>
      </c>
      <c r="Z52" s="538" t="n">
        <f aca="false">COUNTIF(Z20:Z49,3)</f>
        <v>0</v>
      </c>
      <c r="AA52" s="538" t="n">
        <f aca="false">COUNTIF(AA20:AA49,3)</f>
        <v>0</v>
      </c>
      <c r="AB52" s="538" t="n">
        <f aca="false">COUNTIF(AB20:AB49,3)</f>
        <v>0</v>
      </c>
      <c r="AC52" s="538" t="n">
        <f aca="false">COUNTIF(AC20:AC49,3)</f>
        <v>0</v>
      </c>
      <c r="AD52" s="538" t="n">
        <f aca="false">COUNTIF(AD20:AD49,3)</f>
        <v>0</v>
      </c>
      <c r="AE52" s="538" t="n">
        <f aca="false">COUNTIF(AE20:AE49,3)</f>
        <v>0</v>
      </c>
      <c r="AF52" s="538" t="n">
        <f aca="false">COUNTIF(AF20:AF49,3)</f>
        <v>0</v>
      </c>
      <c r="AG52" s="539" t="n">
        <f aca="false">COUNTIF(AG20:AG49,3)</f>
        <v>0</v>
      </c>
    </row>
    <row r="53" customFormat="false" ht="13.8" hidden="false" customHeight="false" outlineLevel="0" collapsed="false">
      <c r="B53" s="540" t="s">
        <v>357</v>
      </c>
      <c r="C53" s="541"/>
      <c r="D53" s="542" t="n">
        <f aca="false">COUNTIF(D20:D49,4)</f>
        <v>0</v>
      </c>
      <c r="E53" s="543" t="n">
        <f aca="false">COUNTIF(E20:E49,4)</f>
        <v>0</v>
      </c>
      <c r="F53" s="543" t="n">
        <f aca="false">COUNTIF(F20:F49,4)</f>
        <v>0</v>
      </c>
      <c r="G53" s="543" t="n">
        <f aca="false">COUNTIF(G20:G49,4)</f>
        <v>0</v>
      </c>
      <c r="H53" s="543" t="n">
        <f aca="false">COUNTIF(H20:H49,4)</f>
        <v>0</v>
      </c>
      <c r="I53" s="543" t="n">
        <f aca="false">COUNTIF(I20:I49,4)</f>
        <v>0</v>
      </c>
      <c r="J53" s="543" t="n">
        <f aca="false">COUNTIF(J20:J49,4)</f>
        <v>0</v>
      </c>
      <c r="K53" s="543" t="n">
        <f aca="false">COUNTIF(K20:K49,4)</f>
        <v>0</v>
      </c>
      <c r="L53" s="543" t="n">
        <f aca="false">COUNTIF(L20:L49,4)</f>
        <v>0</v>
      </c>
      <c r="M53" s="543" t="n">
        <f aca="false">COUNTIF(M20:M49,4)</f>
        <v>0</v>
      </c>
      <c r="N53" s="543" t="n">
        <f aca="false">COUNTIF(N20:N49,4)</f>
        <v>0</v>
      </c>
      <c r="O53" s="543" t="n">
        <f aca="false">COUNTIF(O20:O49,4)</f>
        <v>0</v>
      </c>
      <c r="P53" s="543" t="n">
        <f aca="false">COUNTIF(P20:P49,4)</f>
        <v>0</v>
      </c>
      <c r="Q53" s="543" t="n">
        <f aca="false">COUNTIF(Q20:Q49,4)</f>
        <v>0</v>
      </c>
      <c r="R53" s="543" t="n">
        <f aca="false">COUNTIF(R20:R49,4)</f>
        <v>0</v>
      </c>
      <c r="S53" s="543" t="n">
        <f aca="false">COUNTIF(S20:S49,4)</f>
        <v>0</v>
      </c>
      <c r="T53" s="543" t="n">
        <f aca="false">COUNTIF(T20:T49,4)</f>
        <v>0</v>
      </c>
      <c r="U53" s="543" t="n">
        <f aca="false">COUNTIF(U20:U49,4)</f>
        <v>0</v>
      </c>
      <c r="V53" s="543" t="n">
        <f aca="false">COUNTIF(V20:V49,4)</f>
        <v>0</v>
      </c>
      <c r="W53" s="543" t="n">
        <f aca="false">COUNTIF(W20:W49,4)</f>
        <v>0</v>
      </c>
      <c r="X53" s="543" t="n">
        <f aca="false">COUNTIF(X20:X49,4)</f>
        <v>0</v>
      </c>
      <c r="Y53" s="543" t="n">
        <f aca="false">COUNTIF(Y20:Y49,4)</f>
        <v>0</v>
      </c>
      <c r="Z53" s="543" t="n">
        <f aca="false">COUNTIF(Z20:Z49,4)</f>
        <v>0</v>
      </c>
      <c r="AA53" s="543" t="n">
        <f aca="false">COUNTIF(AA20:AA49,4)</f>
        <v>0</v>
      </c>
      <c r="AB53" s="543" t="n">
        <f aca="false">COUNTIF(AB20:AB49,4)</f>
        <v>0</v>
      </c>
      <c r="AC53" s="543" t="n">
        <f aca="false">COUNTIF(AC20:AC49,4)</f>
        <v>0</v>
      </c>
      <c r="AD53" s="543" t="n">
        <f aca="false">COUNTIF(AD20:AD49,4)</f>
        <v>0</v>
      </c>
      <c r="AE53" s="543" t="n">
        <f aca="false">COUNTIF(AE20:AE49,4)</f>
        <v>0</v>
      </c>
      <c r="AF53" s="543" t="n">
        <f aca="false">COUNTIF(AF20:AF49,4)</f>
        <v>0</v>
      </c>
      <c r="AG53" s="544" t="n">
        <f aca="false">COUNTIF(AG20:AG49,4)</f>
        <v>0</v>
      </c>
    </row>
    <row r="54" customFormat="false" ht="13.8" hidden="false" customHeight="false" outlineLevel="0" collapsed="false">
      <c r="B54" s="422"/>
      <c r="C54" s="422"/>
      <c r="D54" s="422"/>
      <c r="E54" s="422"/>
      <c r="F54" s="422"/>
      <c r="G54" s="422"/>
      <c r="H54" s="422"/>
      <c r="I54" s="422"/>
      <c r="J54" s="422"/>
      <c r="K54" s="422"/>
      <c r="L54" s="422"/>
      <c r="M54" s="422"/>
      <c r="N54" s="422"/>
      <c r="O54" s="422"/>
      <c r="P54" s="422"/>
      <c r="Q54" s="422"/>
      <c r="R54" s="422"/>
      <c r="S54" s="422"/>
      <c r="T54" s="422"/>
      <c r="U54" s="422"/>
      <c r="V54" s="422"/>
      <c r="W54" s="422"/>
      <c r="X54" s="422"/>
      <c r="Y54" s="422"/>
      <c r="Z54" s="422"/>
      <c r="AA54" s="422"/>
      <c r="AB54" s="422"/>
      <c r="AC54" s="422"/>
      <c r="AD54" s="422"/>
      <c r="AE54" s="422"/>
      <c r="AF54" s="422"/>
      <c r="AG54" s="422"/>
    </row>
  </sheetData>
  <mergeCells count="29">
    <mergeCell ref="B1:AG1"/>
    <mergeCell ref="B3:D3"/>
    <mergeCell ref="F3:I3"/>
    <mergeCell ref="K3:M3"/>
    <mergeCell ref="B4:D4"/>
    <mergeCell ref="F4:X4"/>
    <mergeCell ref="C6:F6"/>
    <mergeCell ref="C7:E7"/>
    <mergeCell ref="G7:H7"/>
    <mergeCell ref="J7:K7"/>
    <mergeCell ref="L7:P7"/>
    <mergeCell ref="Q7:R7"/>
    <mergeCell ref="G8:H8"/>
    <mergeCell ref="C9:E9"/>
    <mergeCell ref="G9:H9"/>
    <mergeCell ref="J9:K9"/>
    <mergeCell ref="L9:P9"/>
    <mergeCell ref="Q9:R9"/>
    <mergeCell ref="C11:E11"/>
    <mergeCell ref="G11:H11"/>
    <mergeCell ref="J11:K11"/>
    <mergeCell ref="L11:P11"/>
    <mergeCell ref="Q11:R11"/>
    <mergeCell ref="C13:E13"/>
    <mergeCell ref="G13:H13"/>
    <mergeCell ref="J13:K13"/>
    <mergeCell ref="L13:P13"/>
    <mergeCell ref="Q13:R13"/>
    <mergeCell ref="C17:E17"/>
  </mergeCells>
  <conditionalFormatting sqref="D20">
    <cfRule type="cellIs" priority="2" operator="equal" aboveAverage="0" equalAverage="0" bottom="0" percent="0" rank="0" text="" dxfId="1025">
      <formula>"В"</formula>
    </cfRule>
    <cfRule type="cellIs" priority="3" operator="greaterThan" aboveAverage="0" equalAverage="0" bottom="0" percent="0" rank="0" text="" dxfId="1026">
      <formula>0</formula>
    </cfRule>
  </conditionalFormatting>
  <conditionalFormatting sqref="D21">
    <cfRule type="cellIs" priority="4" operator="equal" aboveAverage="0" equalAverage="0" bottom="0" percent="0" rank="0" text="" dxfId="1027">
      <formula>"В"</formula>
    </cfRule>
  </conditionalFormatting>
  <conditionalFormatting sqref="G7:H7">
    <cfRule type="cellIs" priority="5" operator="greaterThan" aboveAverage="0" equalAverage="0" bottom="0" percent="0" rank="0" text="" dxfId="1028">
      <formula>0</formula>
    </cfRule>
  </conditionalFormatting>
  <conditionalFormatting sqref="G9:H9">
    <cfRule type="cellIs" priority="6" operator="greaterThan" aboveAverage="0" equalAverage="0" bottom="0" percent="0" rank="0" text="" dxfId="1029">
      <formula>0</formula>
    </cfRule>
  </conditionalFormatting>
  <conditionalFormatting sqref="G11:H11">
    <cfRule type="cellIs" priority="7" operator="greaterThan" aboveAverage="0" equalAverage="0" bottom="0" percent="0" rank="0" text="" dxfId="1030">
      <formula>0</formula>
    </cfRule>
  </conditionalFormatting>
  <conditionalFormatting sqref="G13:H13">
    <cfRule type="cellIs" priority="8" operator="greaterThan" aboveAverage="0" equalAverage="0" bottom="0" percent="0" rank="0" text="" dxfId="1031">
      <formula>0</formula>
    </cfRule>
  </conditionalFormatting>
  <conditionalFormatting sqref="J7:K7">
    <cfRule type="cellIs" priority="9" operator="greaterThan" aboveAverage="0" equalAverage="0" bottom="0" percent="0" rank="0" text="" dxfId="1032">
      <formula>0</formula>
    </cfRule>
  </conditionalFormatting>
  <conditionalFormatting sqref="J9:K9">
    <cfRule type="cellIs" priority="10" operator="greaterThan" aboveAverage="0" equalAverage="0" bottom="0" percent="0" rank="0" text="" dxfId="1033">
      <formula>0</formula>
    </cfRule>
  </conditionalFormatting>
  <conditionalFormatting sqref="J11:K11">
    <cfRule type="cellIs" priority="11" operator="greaterThan" aboveAverage="0" equalAverage="0" bottom="0" percent="0" rank="0" text="" dxfId="1034">
      <formula>0</formula>
    </cfRule>
  </conditionalFormatting>
  <conditionalFormatting sqref="J13:K13">
    <cfRule type="cellIs" priority="12" operator="greaterThan" aboveAverage="0" equalAverage="0" bottom="0" percent="0" rank="0" text="" dxfId="1035">
      <formula>0</formula>
    </cfRule>
  </conditionalFormatting>
  <conditionalFormatting sqref="B20">
    <cfRule type="cellIs" priority="13" operator="greaterThan" aboveAverage="0" equalAverage="0" bottom="0" percent="0" rank="0" text="" dxfId="1036">
      <formula>0</formula>
    </cfRule>
  </conditionalFormatting>
  <conditionalFormatting sqref="B21">
    <cfRule type="cellIs" priority="14" operator="greaterThan" aboveAverage="0" equalAverage="0" bottom="0" percent="0" rank="0" text="" dxfId="1037">
      <formula>0</formula>
    </cfRule>
    <cfRule type="expression" priority="15" aboveAverage="0" equalAverage="0" bottom="0" percent="0" rank="0" text="" dxfId="1038">
      <formula>B20&gt;0</formula>
    </cfRule>
  </conditionalFormatting>
  <conditionalFormatting sqref="B22">
    <cfRule type="cellIs" priority="16" operator="greaterThan" aboveAverage="0" equalAverage="0" bottom="0" percent="0" rank="0" text="" dxfId="1039">
      <formula>0</formula>
    </cfRule>
    <cfRule type="expression" priority="17" aboveAverage="0" equalAverage="0" bottom="0" percent="0" rank="0" text="" dxfId="1040">
      <formula>B21&gt;0</formula>
    </cfRule>
  </conditionalFormatting>
  <conditionalFormatting sqref="B23">
    <cfRule type="cellIs" priority="18" operator="greaterThan" aboveAverage="0" equalAverage="0" bottom="0" percent="0" rank="0" text="" dxfId="1041">
      <formula>0</formula>
    </cfRule>
    <cfRule type="expression" priority="19" aboveAverage="0" equalAverage="0" bottom="0" percent="0" rank="0" text="" dxfId="1042">
      <formula>B22&gt;0</formula>
    </cfRule>
  </conditionalFormatting>
  <conditionalFormatting sqref="B24">
    <cfRule type="cellIs" priority="20" operator="greaterThan" aboveAverage="0" equalAverage="0" bottom="0" percent="0" rank="0" text="" dxfId="1043">
      <formula>0</formula>
    </cfRule>
    <cfRule type="expression" priority="21" aboveAverage="0" equalAverage="0" bottom="0" percent="0" rank="0" text="" dxfId="1044">
      <formula>B23&gt;0</formula>
    </cfRule>
  </conditionalFormatting>
  <conditionalFormatting sqref="B25">
    <cfRule type="cellIs" priority="22" operator="greaterThan" aboveAverage="0" equalAverage="0" bottom="0" percent="0" rank="0" text="" dxfId="1045">
      <formula>0</formula>
    </cfRule>
    <cfRule type="expression" priority="23" aboveAverage="0" equalAverage="0" bottom="0" percent="0" rank="0" text="" dxfId="1046">
      <formula>B24&gt;0</formula>
    </cfRule>
  </conditionalFormatting>
  <conditionalFormatting sqref="B26">
    <cfRule type="cellIs" priority="24" operator="greaterThan" aboveAverage="0" equalAverage="0" bottom="0" percent="0" rank="0" text="" dxfId="1047">
      <formula>0</formula>
    </cfRule>
    <cfRule type="expression" priority="25" aboveAverage="0" equalAverage="0" bottom="0" percent="0" rank="0" text="" dxfId="1048">
      <formula>B25&gt;0</formula>
    </cfRule>
  </conditionalFormatting>
  <conditionalFormatting sqref="B27">
    <cfRule type="cellIs" priority="26" operator="greaterThan" aboveAverage="0" equalAverage="0" bottom="0" percent="0" rank="0" text="" dxfId="1049">
      <formula>0</formula>
    </cfRule>
    <cfRule type="expression" priority="27" aboveAverage="0" equalAverage="0" bottom="0" percent="0" rank="0" text="" dxfId="1050">
      <formula>B26&gt;0</formula>
    </cfRule>
  </conditionalFormatting>
  <conditionalFormatting sqref="B28">
    <cfRule type="cellIs" priority="28" operator="greaterThan" aboveAverage="0" equalAverage="0" bottom="0" percent="0" rank="0" text="" dxfId="1051">
      <formula>0</formula>
    </cfRule>
    <cfRule type="expression" priority="29" aboveAverage="0" equalAverage="0" bottom="0" percent="0" rank="0" text="" dxfId="1052">
      <formula>B27&gt;0</formula>
    </cfRule>
  </conditionalFormatting>
  <conditionalFormatting sqref="B29">
    <cfRule type="cellIs" priority="30" operator="greaterThan" aboveAverage="0" equalAverage="0" bottom="0" percent="0" rank="0" text="" dxfId="1053">
      <formula>0</formula>
    </cfRule>
    <cfRule type="expression" priority="31" aboveAverage="0" equalAverage="0" bottom="0" percent="0" rank="0" text="" dxfId="1054">
      <formula>B28&gt;0</formula>
    </cfRule>
  </conditionalFormatting>
  <conditionalFormatting sqref="B30">
    <cfRule type="cellIs" priority="32" operator="greaterThan" aboveAverage="0" equalAverage="0" bottom="0" percent="0" rank="0" text="" dxfId="1055">
      <formula>0</formula>
    </cfRule>
    <cfRule type="expression" priority="33" aboveAverage="0" equalAverage="0" bottom="0" percent="0" rank="0" text="" dxfId="1056">
      <formula>B29&gt;0</formula>
    </cfRule>
  </conditionalFormatting>
  <conditionalFormatting sqref="B31">
    <cfRule type="cellIs" priority="34" operator="greaterThan" aboveAverage="0" equalAverage="0" bottom="0" percent="0" rank="0" text="" dxfId="1057">
      <formula>0</formula>
    </cfRule>
    <cfRule type="expression" priority="35" aboveAverage="0" equalAverage="0" bottom="0" percent="0" rank="0" text="" dxfId="1058">
      <formula>B30&gt;0</formula>
    </cfRule>
  </conditionalFormatting>
  <conditionalFormatting sqref="B32">
    <cfRule type="cellIs" priority="36" operator="greaterThan" aboveAverage="0" equalAverage="0" bottom="0" percent="0" rank="0" text="" dxfId="1059">
      <formula>0</formula>
    </cfRule>
    <cfRule type="expression" priority="37" aboveAverage="0" equalAverage="0" bottom="0" percent="0" rank="0" text="" dxfId="1060">
      <formula>B31&gt;0</formula>
    </cfRule>
  </conditionalFormatting>
  <conditionalFormatting sqref="B33">
    <cfRule type="cellIs" priority="38" operator="greaterThan" aboveAverage="0" equalAverage="0" bottom="0" percent="0" rank="0" text="" dxfId="1061">
      <formula>0</formula>
    </cfRule>
    <cfRule type="expression" priority="39" aboveAverage="0" equalAverage="0" bottom="0" percent="0" rank="0" text="" dxfId="1062">
      <formula>B32&gt;0</formula>
    </cfRule>
  </conditionalFormatting>
  <conditionalFormatting sqref="B34">
    <cfRule type="cellIs" priority="40" operator="greaterThan" aboveAverage="0" equalAverage="0" bottom="0" percent="0" rank="0" text="" dxfId="1063">
      <formula>0</formula>
    </cfRule>
    <cfRule type="expression" priority="41" aboveAverage="0" equalAverage="0" bottom="0" percent="0" rank="0" text="" dxfId="1064">
      <formula>B33&gt;0</formula>
    </cfRule>
  </conditionalFormatting>
  <conditionalFormatting sqref="B35">
    <cfRule type="cellIs" priority="42" operator="greaterThan" aboveAverage="0" equalAverage="0" bottom="0" percent="0" rank="0" text="" dxfId="1065">
      <formula>0</formula>
    </cfRule>
    <cfRule type="expression" priority="43" aboveAverage="0" equalAverage="0" bottom="0" percent="0" rank="0" text="" dxfId="1066">
      <formula>B34&gt;0</formula>
    </cfRule>
  </conditionalFormatting>
  <conditionalFormatting sqref="B36">
    <cfRule type="cellIs" priority="44" operator="greaterThan" aboveAverage="0" equalAverage="0" bottom="0" percent="0" rank="0" text="" dxfId="1067">
      <formula>0</formula>
    </cfRule>
    <cfRule type="expression" priority="45" aboveAverage="0" equalAverage="0" bottom="0" percent="0" rank="0" text="" dxfId="1068">
      <formula>B35&gt;0</formula>
    </cfRule>
  </conditionalFormatting>
  <conditionalFormatting sqref="B37">
    <cfRule type="cellIs" priority="46" operator="greaterThan" aboveAverage="0" equalAverage="0" bottom="0" percent="0" rank="0" text="" dxfId="1069">
      <formula>0</formula>
    </cfRule>
    <cfRule type="expression" priority="47" aboveAverage="0" equalAverage="0" bottom="0" percent="0" rank="0" text="" dxfId="1070">
      <formula>B36&gt;0</formula>
    </cfRule>
  </conditionalFormatting>
  <conditionalFormatting sqref="B38">
    <cfRule type="cellIs" priority="48" operator="greaterThan" aboveAverage="0" equalAverage="0" bottom="0" percent="0" rank="0" text="" dxfId="1071">
      <formula>0</formula>
    </cfRule>
    <cfRule type="expression" priority="49" aboveAverage="0" equalAverage="0" bottom="0" percent="0" rank="0" text="" dxfId="1072">
      <formula>B37&gt;0</formula>
    </cfRule>
  </conditionalFormatting>
  <conditionalFormatting sqref="B39">
    <cfRule type="cellIs" priority="50" operator="greaterThan" aboveAverage="0" equalAverage="0" bottom="0" percent="0" rank="0" text="" dxfId="1073">
      <formula>0</formula>
    </cfRule>
    <cfRule type="expression" priority="51" aboveAverage="0" equalAverage="0" bottom="0" percent="0" rank="0" text="" dxfId="1074">
      <formula>B38&gt;0</formula>
    </cfRule>
  </conditionalFormatting>
  <conditionalFormatting sqref="B40">
    <cfRule type="cellIs" priority="52" operator="greaterThan" aboveAverage="0" equalAverage="0" bottom="0" percent="0" rank="0" text="" dxfId="1075">
      <formula>0</formula>
    </cfRule>
    <cfRule type="expression" priority="53" aboveAverage="0" equalAverage="0" bottom="0" percent="0" rank="0" text="" dxfId="1076">
      <formula>B39&gt;0</formula>
    </cfRule>
  </conditionalFormatting>
  <conditionalFormatting sqref="B41">
    <cfRule type="cellIs" priority="54" operator="greaterThan" aboveAverage="0" equalAverage="0" bottom="0" percent="0" rank="0" text="" dxfId="1077">
      <formula>0</formula>
    </cfRule>
    <cfRule type="expression" priority="55" aboveAverage="0" equalAverage="0" bottom="0" percent="0" rank="0" text="" dxfId="1078">
      <formula>B40&gt;0</formula>
    </cfRule>
  </conditionalFormatting>
  <conditionalFormatting sqref="B42">
    <cfRule type="cellIs" priority="56" operator="greaterThan" aboveAverage="0" equalAverage="0" bottom="0" percent="0" rank="0" text="" dxfId="1079">
      <formula>0</formula>
    </cfRule>
    <cfRule type="expression" priority="57" aboveAverage="0" equalAverage="0" bottom="0" percent="0" rank="0" text="" dxfId="1080">
      <formula>B41&gt;0</formula>
    </cfRule>
  </conditionalFormatting>
  <conditionalFormatting sqref="B43">
    <cfRule type="cellIs" priority="58" operator="greaterThan" aboveAverage="0" equalAverage="0" bottom="0" percent="0" rank="0" text="" dxfId="1081">
      <formula>0</formula>
    </cfRule>
    <cfRule type="expression" priority="59" aboveAverage="0" equalAverage="0" bottom="0" percent="0" rank="0" text="" dxfId="1082">
      <formula>B42&gt;0</formula>
    </cfRule>
  </conditionalFormatting>
  <conditionalFormatting sqref="B44">
    <cfRule type="cellIs" priority="60" operator="greaterThan" aboveAverage="0" equalAverage="0" bottom="0" percent="0" rank="0" text="" dxfId="1083">
      <formula>0</formula>
    </cfRule>
    <cfRule type="expression" priority="61" aboveAverage="0" equalAverage="0" bottom="0" percent="0" rank="0" text="" dxfId="1084">
      <formula>B43&gt;0</formula>
    </cfRule>
  </conditionalFormatting>
  <conditionalFormatting sqref="B45">
    <cfRule type="cellIs" priority="62" operator="greaterThan" aboveAverage="0" equalAverage="0" bottom="0" percent="0" rank="0" text="" dxfId="1085">
      <formula>0</formula>
    </cfRule>
    <cfRule type="expression" priority="63" aboveAverage="0" equalAverage="0" bottom="0" percent="0" rank="0" text="" dxfId="1086">
      <formula>B44&gt;0</formula>
    </cfRule>
  </conditionalFormatting>
  <conditionalFormatting sqref="B46">
    <cfRule type="cellIs" priority="64" operator="greaterThan" aboveAverage="0" equalAverage="0" bottom="0" percent="0" rank="0" text="" dxfId="1087">
      <formula>0</formula>
    </cfRule>
    <cfRule type="expression" priority="65" aboveAverage="0" equalAverage="0" bottom="0" percent="0" rank="0" text="" dxfId="1088">
      <formula>B45&gt;0</formula>
    </cfRule>
  </conditionalFormatting>
  <conditionalFormatting sqref="B47">
    <cfRule type="cellIs" priority="66" operator="greaterThan" aboveAverage="0" equalAverage="0" bottom="0" percent="0" rank="0" text="" dxfId="1089">
      <formula>0</formula>
    </cfRule>
    <cfRule type="expression" priority="67" aboveAverage="0" equalAverage="0" bottom="0" percent="0" rank="0" text="" dxfId="1090">
      <formula>B46&gt;0</formula>
    </cfRule>
  </conditionalFormatting>
  <conditionalFormatting sqref="B48">
    <cfRule type="cellIs" priority="68" operator="greaterThan" aboveAverage="0" equalAverage="0" bottom="0" percent="0" rank="0" text="" dxfId="1091">
      <formula>0</formula>
    </cfRule>
    <cfRule type="expression" priority="69" aboveAverage="0" equalAverage="0" bottom="0" percent="0" rank="0" text="" dxfId="1092">
      <formula>B47&gt;0</formula>
    </cfRule>
  </conditionalFormatting>
  <conditionalFormatting sqref="B49">
    <cfRule type="cellIs" priority="70" operator="greaterThan" aboveAverage="0" equalAverage="0" bottom="0" percent="0" rank="0" text="" dxfId="1093">
      <formula>0</formula>
    </cfRule>
    <cfRule type="expression" priority="71" aboveAverage="0" equalAverage="0" bottom="0" percent="0" rank="0" text="" dxfId="1094">
      <formula>B48&gt;0</formula>
    </cfRule>
  </conditionalFormatting>
  <conditionalFormatting sqref="E20">
    <cfRule type="cellIs" priority="72" operator="equal" aboveAverage="0" equalAverage="0" bottom="0" percent="0" rank="0" text="" dxfId="1095">
      <formula>"В"</formula>
    </cfRule>
    <cfRule type="cellIs" priority="73" operator="greaterThan" aboveAverage="0" equalAverage="0" bottom="0" percent="0" rank="0" text="" dxfId="1096">
      <formula>0</formula>
    </cfRule>
  </conditionalFormatting>
  <conditionalFormatting sqref="F20">
    <cfRule type="cellIs" priority="74" operator="equal" aboveAverage="0" equalAverage="0" bottom="0" percent="0" rank="0" text="" dxfId="1097">
      <formula>"В"</formula>
    </cfRule>
    <cfRule type="cellIs" priority="75" operator="greaterThan" aboveAverage="0" equalAverage="0" bottom="0" percent="0" rank="0" text="" dxfId="1098">
      <formula>0</formula>
    </cfRule>
  </conditionalFormatting>
  <conditionalFormatting sqref="G20">
    <cfRule type="cellIs" priority="76" operator="equal" aboveAverage="0" equalAverage="0" bottom="0" percent="0" rank="0" text="" dxfId="1099">
      <formula>"В"</formula>
    </cfRule>
    <cfRule type="cellIs" priority="77" operator="greaterThan" aboveAverage="0" equalAverage="0" bottom="0" percent="0" rank="0" text="" dxfId="1100">
      <formula>0</formula>
    </cfRule>
  </conditionalFormatting>
  <conditionalFormatting sqref="H20">
    <cfRule type="cellIs" priority="78" operator="equal" aboveAverage="0" equalAverage="0" bottom="0" percent="0" rank="0" text="" dxfId="1101">
      <formula>"В"</formula>
    </cfRule>
    <cfRule type="cellIs" priority="79" operator="greaterThan" aboveAverage="0" equalAverage="0" bottom="0" percent="0" rank="0" text="" dxfId="1102">
      <formula>0</formula>
    </cfRule>
  </conditionalFormatting>
  <conditionalFormatting sqref="I20">
    <cfRule type="cellIs" priority="80" operator="equal" aboveAverage="0" equalAverage="0" bottom="0" percent="0" rank="0" text="" dxfId="1103">
      <formula>"В"</formula>
    </cfRule>
    <cfRule type="cellIs" priority="81" operator="greaterThan" aboveAverage="0" equalAverage="0" bottom="0" percent="0" rank="0" text="" dxfId="1104">
      <formula>0</formula>
    </cfRule>
  </conditionalFormatting>
  <conditionalFormatting sqref="J20">
    <cfRule type="cellIs" priority="82" operator="equal" aboveAverage="0" equalAverage="0" bottom="0" percent="0" rank="0" text="" dxfId="1105">
      <formula>"В"</formula>
    </cfRule>
    <cfRule type="cellIs" priority="83" operator="greaterThan" aboveAverage="0" equalAverage="0" bottom="0" percent="0" rank="0" text="" dxfId="1106">
      <formula>0</formula>
    </cfRule>
  </conditionalFormatting>
  <conditionalFormatting sqref="K20">
    <cfRule type="cellIs" priority="84" operator="equal" aboveAverage="0" equalAverage="0" bottom="0" percent="0" rank="0" text="" dxfId="1107">
      <formula>"В"</formula>
    </cfRule>
    <cfRule type="cellIs" priority="85" operator="greaterThan" aboveAverage="0" equalAverage="0" bottom="0" percent="0" rank="0" text="" dxfId="1108">
      <formula>0</formula>
    </cfRule>
  </conditionalFormatting>
  <conditionalFormatting sqref="L20">
    <cfRule type="cellIs" priority="86" operator="equal" aboveAverage="0" equalAverage="0" bottom="0" percent="0" rank="0" text="" dxfId="1109">
      <formula>"В"</formula>
    </cfRule>
    <cfRule type="cellIs" priority="87" operator="greaterThan" aboveAverage="0" equalAverage="0" bottom="0" percent="0" rank="0" text="" dxfId="1110">
      <formula>0</formula>
    </cfRule>
  </conditionalFormatting>
  <conditionalFormatting sqref="M20">
    <cfRule type="cellIs" priority="88" operator="equal" aboveAverage="0" equalAverage="0" bottom="0" percent="0" rank="0" text="" dxfId="1111">
      <formula>"В"</formula>
    </cfRule>
    <cfRule type="cellIs" priority="89" operator="greaterThan" aboveAverage="0" equalAverage="0" bottom="0" percent="0" rank="0" text="" dxfId="1112">
      <formula>0</formula>
    </cfRule>
  </conditionalFormatting>
  <conditionalFormatting sqref="N20">
    <cfRule type="cellIs" priority="90" operator="equal" aboveAverage="0" equalAverage="0" bottom="0" percent="0" rank="0" text="" dxfId="1113">
      <formula>"В"</formula>
    </cfRule>
    <cfRule type="cellIs" priority="91" operator="greaterThan" aboveAverage="0" equalAverage="0" bottom="0" percent="0" rank="0" text="" dxfId="1114">
      <formula>0</formula>
    </cfRule>
  </conditionalFormatting>
  <conditionalFormatting sqref="O20">
    <cfRule type="cellIs" priority="92" operator="equal" aboveAverage="0" equalAverage="0" bottom="0" percent="0" rank="0" text="" dxfId="1115">
      <formula>"В"</formula>
    </cfRule>
    <cfRule type="cellIs" priority="93" operator="greaterThan" aboveAverage="0" equalAverage="0" bottom="0" percent="0" rank="0" text="" dxfId="1116">
      <formula>0</formula>
    </cfRule>
  </conditionalFormatting>
  <conditionalFormatting sqref="P20">
    <cfRule type="cellIs" priority="94" operator="equal" aboveAverage="0" equalAverage="0" bottom="0" percent="0" rank="0" text="" dxfId="1117">
      <formula>"В"</formula>
    </cfRule>
    <cfRule type="cellIs" priority="95" operator="greaterThan" aboveAverage="0" equalAverage="0" bottom="0" percent="0" rank="0" text="" dxfId="1118">
      <formula>0</formula>
    </cfRule>
  </conditionalFormatting>
  <conditionalFormatting sqref="Q20">
    <cfRule type="cellIs" priority="96" operator="equal" aboveAverage="0" equalAverage="0" bottom="0" percent="0" rank="0" text="" dxfId="1119">
      <formula>"В"</formula>
    </cfRule>
    <cfRule type="cellIs" priority="97" operator="greaterThan" aboveAverage="0" equalAverage="0" bottom="0" percent="0" rank="0" text="" dxfId="1120">
      <formula>0</formula>
    </cfRule>
  </conditionalFormatting>
  <conditionalFormatting sqref="R20">
    <cfRule type="cellIs" priority="98" operator="equal" aboveAverage="0" equalAverage="0" bottom="0" percent="0" rank="0" text="" dxfId="1121">
      <formula>"В"</formula>
    </cfRule>
    <cfRule type="cellIs" priority="99" operator="greaterThan" aboveAverage="0" equalAverage="0" bottom="0" percent="0" rank="0" text="" dxfId="1122">
      <formula>0</formula>
    </cfRule>
  </conditionalFormatting>
  <conditionalFormatting sqref="S20">
    <cfRule type="cellIs" priority="100" operator="equal" aboveAverage="0" equalAverage="0" bottom="0" percent="0" rank="0" text="" dxfId="1123">
      <formula>"В"</formula>
    </cfRule>
    <cfRule type="cellIs" priority="101" operator="greaterThan" aboveAverage="0" equalAverage="0" bottom="0" percent="0" rank="0" text="" dxfId="1124">
      <formula>0</formula>
    </cfRule>
  </conditionalFormatting>
  <conditionalFormatting sqref="T20">
    <cfRule type="cellIs" priority="102" operator="equal" aboveAverage="0" equalAverage="0" bottom="0" percent="0" rank="0" text="" dxfId="1125">
      <formula>"В"</formula>
    </cfRule>
    <cfRule type="cellIs" priority="103" operator="greaterThan" aboveAverage="0" equalAverage="0" bottom="0" percent="0" rank="0" text="" dxfId="1126">
      <formula>0</formula>
    </cfRule>
  </conditionalFormatting>
  <conditionalFormatting sqref="U20">
    <cfRule type="cellIs" priority="104" operator="equal" aboveAverage="0" equalAverage="0" bottom="0" percent="0" rank="0" text="" dxfId="1127">
      <formula>"В"</formula>
    </cfRule>
    <cfRule type="cellIs" priority="105" operator="greaterThan" aboveAverage="0" equalAverage="0" bottom="0" percent="0" rank="0" text="" dxfId="1128">
      <formula>0</formula>
    </cfRule>
  </conditionalFormatting>
  <conditionalFormatting sqref="V20">
    <cfRule type="cellIs" priority="106" operator="equal" aboveAverage="0" equalAverage="0" bottom="0" percent="0" rank="0" text="" dxfId="1129">
      <formula>"В"</formula>
    </cfRule>
    <cfRule type="cellIs" priority="107" operator="greaterThan" aboveAverage="0" equalAverage="0" bottom="0" percent="0" rank="0" text="" dxfId="1130">
      <formula>0</formula>
    </cfRule>
  </conditionalFormatting>
  <conditionalFormatting sqref="W20">
    <cfRule type="cellIs" priority="108" operator="equal" aboveAverage="0" equalAverage="0" bottom="0" percent="0" rank="0" text="" dxfId="1131">
      <formula>"В"</formula>
    </cfRule>
    <cfRule type="cellIs" priority="109" operator="greaterThan" aboveAverage="0" equalAverage="0" bottom="0" percent="0" rank="0" text="" dxfId="1132">
      <formula>0</formula>
    </cfRule>
  </conditionalFormatting>
  <conditionalFormatting sqref="X20">
    <cfRule type="cellIs" priority="110" operator="equal" aboveAverage="0" equalAverage="0" bottom="0" percent="0" rank="0" text="" dxfId="1133">
      <formula>"В"</formula>
    </cfRule>
    <cfRule type="cellIs" priority="111" operator="greaterThan" aboveAverage="0" equalAverage="0" bottom="0" percent="0" rank="0" text="" dxfId="1134">
      <formula>0</formula>
    </cfRule>
  </conditionalFormatting>
  <conditionalFormatting sqref="Y20">
    <cfRule type="cellIs" priority="112" operator="equal" aboveAverage="0" equalAverage="0" bottom="0" percent="0" rank="0" text="" dxfId="1135">
      <formula>"В"</formula>
    </cfRule>
    <cfRule type="cellIs" priority="113" operator="greaterThan" aboveAverage="0" equalAverage="0" bottom="0" percent="0" rank="0" text="" dxfId="1136">
      <formula>0</formula>
    </cfRule>
  </conditionalFormatting>
  <conditionalFormatting sqref="Z20">
    <cfRule type="cellIs" priority="114" operator="equal" aboveAverage="0" equalAverage="0" bottom="0" percent="0" rank="0" text="" dxfId="1137">
      <formula>"В"</formula>
    </cfRule>
    <cfRule type="cellIs" priority="115" operator="greaterThan" aboveAverage="0" equalAverage="0" bottom="0" percent="0" rank="0" text="" dxfId="1138">
      <formula>0</formula>
    </cfRule>
  </conditionalFormatting>
  <conditionalFormatting sqref="AA20">
    <cfRule type="cellIs" priority="116" operator="equal" aboveAverage="0" equalAverage="0" bottom="0" percent="0" rank="0" text="" dxfId="1139">
      <formula>"В"</formula>
    </cfRule>
    <cfRule type="cellIs" priority="117" operator="greaterThan" aboveAverage="0" equalAverage="0" bottom="0" percent="0" rank="0" text="" dxfId="1140">
      <formula>0</formula>
    </cfRule>
  </conditionalFormatting>
  <conditionalFormatting sqref="AB20">
    <cfRule type="cellIs" priority="118" operator="equal" aboveAverage="0" equalAverage="0" bottom="0" percent="0" rank="0" text="" dxfId="1141">
      <formula>"В"</formula>
    </cfRule>
    <cfRule type="cellIs" priority="119" operator="greaterThan" aboveAverage="0" equalAverage="0" bottom="0" percent="0" rank="0" text="" dxfId="1142">
      <formula>0</formula>
    </cfRule>
  </conditionalFormatting>
  <conditionalFormatting sqref="AC20">
    <cfRule type="cellIs" priority="120" operator="equal" aboveAverage="0" equalAverage="0" bottom="0" percent="0" rank="0" text="" dxfId="1143">
      <formula>"В"</formula>
    </cfRule>
    <cfRule type="cellIs" priority="121" operator="greaterThan" aboveAverage="0" equalAverage="0" bottom="0" percent="0" rank="0" text="" dxfId="1144">
      <formula>0</formula>
    </cfRule>
  </conditionalFormatting>
  <conditionalFormatting sqref="AD20">
    <cfRule type="cellIs" priority="122" operator="equal" aboveAverage="0" equalAverage="0" bottom="0" percent="0" rank="0" text="" dxfId="1145">
      <formula>"В"</formula>
    </cfRule>
    <cfRule type="cellIs" priority="123" operator="greaterThan" aboveAverage="0" equalAverage="0" bottom="0" percent="0" rank="0" text="" dxfId="1146">
      <formula>0</formula>
    </cfRule>
  </conditionalFormatting>
  <conditionalFormatting sqref="AE20">
    <cfRule type="cellIs" priority="124" operator="equal" aboveAverage="0" equalAverage="0" bottom="0" percent="0" rank="0" text="" dxfId="1147">
      <formula>"В"</formula>
    </cfRule>
    <cfRule type="cellIs" priority="125" operator="greaterThan" aboveAverage="0" equalAverage="0" bottom="0" percent="0" rank="0" text="" dxfId="1148">
      <formula>0</formula>
    </cfRule>
  </conditionalFormatting>
  <conditionalFormatting sqref="AF20">
    <cfRule type="cellIs" priority="126" operator="equal" aboveAverage="0" equalAverage="0" bottom="0" percent="0" rank="0" text="" dxfId="1149">
      <formula>"В"</formula>
    </cfRule>
    <cfRule type="cellIs" priority="127" operator="greaterThan" aboveAverage="0" equalAverage="0" bottom="0" percent="0" rank="0" text="" dxfId="1150">
      <formula>0</formula>
    </cfRule>
  </conditionalFormatting>
  <conditionalFormatting sqref="AG20">
    <cfRule type="cellIs" priority="128" operator="equal" aboveAverage="0" equalAverage="0" bottom="0" percent="0" rank="0" text="" dxfId="1151">
      <formula>"В"</formula>
    </cfRule>
    <cfRule type="cellIs" priority="129" operator="greaterThan" aboveAverage="0" equalAverage="0" bottom="0" percent="0" rank="0" text="" dxfId="1152">
      <formula>0</formula>
    </cfRule>
  </conditionalFormatting>
  <conditionalFormatting sqref="D21">
    <cfRule type="cellIs" priority="130" operator="greaterThan" aboveAverage="0" equalAverage="0" bottom="0" percent="0" rank="0" text="" dxfId="1153">
      <formula>0</formula>
    </cfRule>
    <cfRule type="expression" priority="131" aboveAverage="0" equalAverage="0" bottom="0" percent="0" rank="0" text="" dxfId="1154">
      <formula>D20&gt;0</formula>
    </cfRule>
  </conditionalFormatting>
  <conditionalFormatting sqref="E21">
    <cfRule type="cellIs" priority="132" operator="equal" aboveAverage="0" equalAverage="0" bottom="0" percent="0" rank="0" text="" dxfId="1155">
      <formula>"В"</formula>
    </cfRule>
  </conditionalFormatting>
  <conditionalFormatting sqref="E21">
    <cfRule type="cellIs" priority="133" operator="greaterThan" aboveAverage="0" equalAverage="0" bottom="0" percent="0" rank="0" text="" dxfId="1156">
      <formula>0</formula>
    </cfRule>
    <cfRule type="expression" priority="134" aboveAverage="0" equalAverage="0" bottom="0" percent="0" rank="0" text="" dxfId="1157">
      <formula>E20&gt;0</formula>
    </cfRule>
  </conditionalFormatting>
  <conditionalFormatting sqref="F21">
    <cfRule type="cellIs" priority="135" operator="equal" aboveAverage="0" equalAverage="0" bottom="0" percent="0" rank="0" text="" dxfId="1158">
      <formula>"В"</formula>
    </cfRule>
  </conditionalFormatting>
  <conditionalFormatting sqref="F21">
    <cfRule type="cellIs" priority="136" operator="greaterThan" aboveAverage="0" equalAverage="0" bottom="0" percent="0" rank="0" text="" dxfId="1159">
      <formula>0</formula>
    </cfRule>
    <cfRule type="expression" priority="137" aboveAverage="0" equalAverage="0" bottom="0" percent="0" rank="0" text="" dxfId="1160">
      <formula>F20&gt;0</formula>
    </cfRule>
  </conditionalFormatting>
  <conditionalFormatting sqref="G21">
    <cfRule type="cellIs" priority="138" operator="equal" aboveAverage="0" equalAverage="0" bottom="0" percent="0" rank="0" text="" dxfId="1161">
      <formula>"В"</formula>
    </cfRule>
  </conditionalFormatting>
  <conditionalFormatting sqref="G21">
    <cfRule type="cellIs" priority="139" operator="greaterThan" aboveAverage="0" equalAverage="0" bottom="0" percent="0" rank="0" text="" dxfId="1162">
      <formula>0</formula>
    </cfRule>
    <cfRule type="expression" priority="140" aboveAverage="0" equalAverage="0" bottom="0" percent="0" rank="0" text="" dxfId="1163">
      <formula>G20&gt;0</formula>
    </cfRule>
  </conditionalFormatting>
  <conditionalFormatting sqref="H21">
    <cfRule type="cellIs" priority="141" operator="equal" aboveAverage="0" equalAverage="0" bottom="0" percent="0" rank="0" text="" dxfId="1164">
      <formula>"В"</formula>
    </cfRule>
  </conditionalFormatting>
  <conditionalFormatting sqref="H21">
    <cfRule type="cellIs" priority="142" operator="greaterThan" aboveAverage="0" equalAverage="0" bottom="0" percent="0" rank="0" text="" dxfId="1165">
      <formula>0</formula>
    </cfRule>
    <cfRule type="expression" priority="143" aboveAverage="0" equalAverage="0" bottom="0" percent="0" rank="0" text="" dxfId="1166">
      <formula>H20&gt;0</formula>
    </cfRule>
  </conditionalFormatting>
  <conditionalFormatting sqref="I21">
    <cfRule type="cellIs" priority="144" operator="equal" aboveAverage="0" equalAverage="0" bottom="0" percent="0" rank="0" text="" dxfId="1167">
      <formula>"В"</formula>
    </cfRule>
  </conditionalFormatting>
  <conditionalFormatting sqref="I21">
    <cfRule type="cellIs" priority="145" operator="greaterThan" aboveAverage="0" equalAverage="0" bottom="0" percent="0" rank="0" text="" dxfId="1168">
      <formula>0</formula>
    </cfRule>
    <cfRule type="expression" priority="146" aboveAverage="0" equalAverage="0" bottom="0" percent="0" rank="0" text="" dxfId="1169">
      <formula>I20&gt;0</formula>
    </cfRule>
  </conditionalFormatting>
  <conditionalFormatting sqref="J21">
    <cfRule type="cellIs" priority="147" operator="equal" aboveAverage="0" equalAverage="0" bottom="0" percent="0" rank="0" text="" dxfId="1170">
      <formula>"В"</formula>
    </cfRule>
  </conditionalFormatting>
  <conditionalFormatting sqref="J21">
    <cfRule type="cellIs" priority="148" operator="greaterThan" aboveAverage="0" equalAverage="0" bottom="0" percent="0" rank="0" text="" dxfId="1171">
      <formula>0</formula>
    </cfRule>
    <cfRule type="expression" priority="149" aboveAverage="0" equalAverage="0" bottom="0" percent="0" rank="0" text="" dxfId="1172">
      <formula>J20&gt;0</formula>
    </cfRule>
  </conditionalFormatting>
  <conditionalFormatting sqref="K21">
    <cfRule type="cellIs" priority="150" operator="equal" aboveAverage="0" equalAverage="0" bottom="0" percent="0" rank="0" text="" dxfId="1173">
      <formula>"В"</formula>
    </cfRule>
  </conditionalFormatting>
  <conditionalFormatting sqref="K21">
    <cfRule type="cellIs" priority="151" operator="greaterThan" aboveAverage="0" equalAverage="0" bottom="0" percent="0" rank="0" text="" dxfId="1174">
      <formula>0</formula>
    </cfRule>
    <cfRule type="expression" priority="152" aboveAverage="0" equalAverage="0" bottom="0" percent="0" rank="0" text="" dxfId="1175">
      <formula>K20&gt;0</formula>
    </cfRule>
  </conditionalFormatting>
  <conditionalFormatting sqref="L21">
    <cfRule type="cellIs" priority="153" operator="equal" aboveAverage="0" equalAverage="0" bottom="0" percent="0" rank="0" text="" dxfId="1176">
      <formula>"В"</formula>
    </cfRule>
  </conditionalFormatting>
  <conditionalFormatting sqref="L21">
    <cfRule type="cellIs" priority="154" operator="greaterThan" aboveAverage="0" equalAverage="0" bottom="0" percent="0" rank="0" text="" dxfId="1177">
      <formula>0</formula>
    </cfRule>
    <cfRule type="expression" priority="155" aboveAverage="0" equalAverage="0" bottom="0" percent="0" rank="0" text="" dxfId="1178">
      <formula>L20&gt;0</formula>
    </cfRule>
  </conditionalFormatting>
  <conditionalFormatting sqref="M21">
    <cfRule type="cellIs" priority="156" operator="equal" aboveAverage="0" equalAverage="0" bottom="0" percent="0" rank="0" text="" dxfId="1179">
      <formula>"В"</formula>
    </cfRule>
  </conditionalFormatting>
  <conditionalFormatting sqref="M21">
    <cfRule type="cellIs" priority="157" operator="greaterThan" aboveAverage="0" equalAverage="0" bottom="0" percent="0" rank="0" text="" dxfId="1180">
      <formula>0</formula>
    </cfRule>
    <cfRule type="expression" priority="158" aboveAverage="0" equalAverage="0" bottom="0" percent="0" rank="0" text="" dxfId="1181">
      <formula>M20&gt;0</formula>
    </cfRule>
  </conditionalFormatting>
  <conditionalFormatting sqref="N21">
    <cfRule type="cellIs" priority="159" operator="equal" aboveAverage="0" equalAverage="0" bottom="0" percent="0" rank="0" text="" dxfId="1182">
      <formula>"В"</formula>
    </cfRule>
  </conditionalFormatting>
  <conditionalFormatting sqref="N21">
    <cfRule type="cellIs" priority="160" operator="greaterThan" aboveAverage="0" equalAverage="0" bottom="0" percent="0" rank="0" text="" dxfId="1183">
      <formula>0</formula>
    </cfRule>
    <cfRule type="expression" priority="161" aboveAverage="0" equalAverage="0" bottom="0" percent="0" rank="0" text="" dxfId="1184">
      <formula>N20&gt;0</formula>
    </cfRule>
  </conditionalFormatting>
  <conditionalFormatting sqref="O21">
    <cfRule type="cellIs" priority="162" operator="equal" aboveAverage="0" equalAverage="0" bottom="0" percent="0" rank="0" text="" dxfId="1185">
      <formula>"В"</formula>
    </cfRule>
  </conditionalFormatting>
  <conditionalFormatting sqref="O21">
    <cfRule type="cellIs" priority="163" operator="greaterThan" aboveAverage="0" equalAverage="0" bottom="0" percent="0" rank="0" text="" dxfId="1186">
      <formula>0</formula>
    </cfRule>
    <cfRule type="expression" priority="164" aboveAverage="0" equalAverage="0" bottom="0" percent="0" rank="0" text="" dxfId="1187">
      <formula>O20&gt;0</formula>
    </cfRule>
  </conditionalFormatting>
  <conditionalFormatting sqref="P21">
    <cfRule type="cellIs" priority="165" operator="equal" aboveAverage="0" equalAverage="0" bottom="0" percent="0" rank="0" text="" dxfId="1188">
      <formula>"В"</formula>
    </cfRule>
  </conditionalFormatting>
  <conditionalFormatting sqref="P21">
    <cfRule type="cellIs" priority="166" operator="greaterThan" aboveAverage="0" equalAverage="0" bottom="0" percent="0" rank="0" text="" dxfId="1189">
      <formula>0</formula>
    </cfRule>
    <cfRule type="expression" priority="167" aboveAverage="0" equalAverage="0" bottom="0" percent="0" rank="0" text="" dxfId="1190">
      <formula>P20&gt;0</formula>
    </cfRule>
  </conditionalFormatting>
  <conditionalFormatting sqref="Q21">
    <cfRule type="cellIs" priority="168" operator="equal" aboveAverage="0" equalAverage="0" bottom="0" percent="0" rank="0" text="" dxfId="1191">
      <formula>"В"</formula>
    </cfRule>
  </conditionalFormatting>
  <conditionalFormatting sqref="Q21">
    <cfRule type="cellIs" priority="169" operator="greaterThan" aboveAverage="0" equalAverage="0" bottom="0" percent="0" rank="0" text="" dxfId="1192">
      <formula>0</formula>
    </cfRule>
    <cfRule type="expression" priority="170" aboveAverage="0" equalAverage="0" bottom="0" percent="0" rank="0" text="" dxfId="1193">
      <formula>Q20&gt;0</formula>
    </cfRule>
  </conditionalFormatting>
  <conditionalFormatting sqref="R21">
    <cfRule type="cellIs" priority="171" operator="equal" aboveAverage="0" equalAverage="0" bottom="0" percent="0" rank="0" text="" dxfId="1194">
      <formula>"В"</formula>
    </cfRule>
  </conditionalFormatting>
  <conditionalFormatting sqref="R21">
    <cfRule type="cellIs" priority="172" operator="greaterThan" aboveAverage="0" equalAverage="0" bottom="0" percent="0" rank="0" text="" dxfId="1195">
      <formula>0</formula>
    </cfRule>
    <cfRule type="expression" priority="173" aboveAverage="0" equalAverage="0" bottom="0" percent="0" rank="0" text="" dxfId="1196">
      <formula>R20&gt;0</formula>
    </cfRule>
  </conditionalFormatting>
  <conditionalFormatting sqref="S21">
    <cfRule type="cellIs" priority="174" operator="equal" aboveAverage="0" equalAverage="0" bottom="0" percent="0" rank="0" text="" dxfId="1197">
      <formula>"В"</formula>
    </cfRule>
  </conditionalFormatting>
  <conditionalFormatting sqref="S21">
    <cfRule type="cellIs" priority="175" operator="greaterThan" aboveAverage="0" equalAverage="0" bottom="0" percent="0" rank="0" text="" dxfId="1198">
      <formula>0</formula>
    </cfRule>
    <cfRule type="expression" priority="176" aboveAverage="0" equalAverage="0" bottom="0" percent="0" rank="0" text="" dxfId="1199">
      <formula>S20&gt;0</formula>
    </cfRule>
  </conditionalFormatting>
  <conditionalFormatting sqref="T21">
    <cfRule type="cellIs" priority="177" operator="equal" aboveAverage="0" equalAverage="0" bottom="0" percent="0" rank="0" text="" dxfId="1200">
      <formula>"В"</formula>
    </cfRule>
  </conditionalFormatting>
  <conditionalFormatting sqref="T21">
    <cfRule type="cellIs" priority="178" operator="greaterThan" aboveAverage="0" equalAverage="0" bottom="0" percent="0" rank="0" text="" dxfId="1201">
      <formula>0</formula>
    </cfRule>
    <cfRule type="expression" priority="179" aboveAverage="0" equalAverage="0" bottom="0" percent="0" rank="0" text="" dxfId="1202">
      <formula>T20&gt;0</formula>
    </cfRule>
  </conditionalFormatting>
  <conditionalFormatting sqref="U21">
    <cfRule type="cellIs" priority="180" operator="equal" aboveAverage="0" equalAverage="0" bottom="0" percent="0" rank="0" text="" dxfId="1203">
      <formula>"В"</formula>
    </cfRule>
  </conditionalFormatting>
  <conditionalFormatting sqref="U21">
    <cfRule type="cellIs" priority="181" operator="greaterThan" aboveAverage="0" equalAverage="0" bottom="0" percent="0" rank="0" text="" dxfId="1204">
      <formula>0</formula>
    </cfRule>
    <cfRule type="expression" priority="182" aboveAverage="0" equalAverage="0" bottom="0" percent="0" rank="0" text="" dxfId="1205">
      <formula>U20&gt;0</formula>
    </cfRule>
  </conditionalFormatting>
  <conditionalFormatting sqref="V21">
    <cfRule type="cellIs" priority="183" operator="equal" aboveAverage="0" equalAverage="0" bottom="0" percent="0" rank="0" text="" dxfId="1206">
      <formula>"В"</formula>
    </cfRule>
  </conditionalFormatting>
  <conditionalFormatting sqref="V21">
    <cfRule type="cellIs" priority="184" operator="greaterThan" aboveAverage="0" equalAverage="0" bottom="0" percent="0" rank="0" text="" dxfId="1207">
      <formula>0</formula>
    </cfRule>
    <cfRule type="expression" priority="185" aboveAverage="0" equalAverage="0" bottom="0" percent="0" rank="0" text="" dxfId="1208">
      <formula>V20&gt;0</formula>
    </cfRule>
  </conditionalFormatting>
  <conditionalFormatting sqref="W21">
    <cfRule type="cellIs" priority="186" operator="equal" aboveAverage="0" equalAverage="0" bottom="0" percent="0" rank="0" text="" dxfId="1209">
      <formula>"В"</formula>
    </cfRule>
  </conditionalFormatting>
  <conditionalFormatting sqref="W21">
    <cfRule type="cellIs" priority="187" operator="greaterThan" aboveAverage="0" equalAverage="0" bottom="0" percent="0" rank="0" text="" dxfId="1210">
      <formula>0</formula>
    </cfRule>
    <cfRule type="expression" priority="188" aboveAverage="0" equalAverage="0" bottom="0" percent="0" rank="0" text="" dxfId="1211">
      <formula>W20&gt;0</formula>
    </cfRule>
  </conditionalFormatting>
  <conditionalFormatting sqref="X21">
    <cfRule type="cellIs" priority="189" operator="equal" aboveAverage="0" equalAverage="0" bottom="0" percent="0" rank="0" text="" dxfId="1212">
      <formula>"В"</formula>
    </cfRule>
  </conditionalFormatting>
  <conditionalFormatting sqref="X21">
    <cfRule type="cellIs" priority="190" operator="greaterThan" aboveAverage="0" equalAverage="0" bottom="0" percent="0" rank="0" text="" dxfId="1213">
      <formula>0</formula>
    </cfRule>
    <cfRule type="expression" priority="191" aboveAverage="0" equalAverage="0" bottom="0" percent="0" rank="0" text="" dxfId="1214">
      <formula>X20&gt;0</formula>
    </cfRule>
  </conditionalFormatting>
  <conditionalFormatting sqref="Y21">
    <cfRule type="cellIs" priority="192" operator="equal" aboveAverage="0" equalAverage="0" bottom="0" percent="0" rank="0" text="" dxfId="1215">
      <formula>"В"</formula>
    </cfRule>
  </conditionalFormatting>
  <conditionalFormatting sqref="Y21">
    <cfRule type="cellIs" priority="193" operator="greaterThan" aboveAverage="0" equalAverage="0" bottom="0" percent="0" rank="0" text="" dxfId="1216">
      <formula>0</formula>
    </cfRule>
    <cfRule type="expression" priority="194" aboveAverage="0" equalAverage="0" bottom="0" percent="0" rank="0" text="" dxfId="1217">
      <formula>Y20&gt;0</formula>
    </cfRule>
  </conditionalFormatting>
  <conditionalFormatting sqref="Z21">
    <cfRule type="cellIs" priority="195" operator="equal" aboveAverage="0" equalAverage="0" bottom="0" percent="0" rank="0" text="" dxfId="1218">
      <formula>"В"</formula>
    </cfRule>
  </conditionalFormatting>
  <conditionalFormatting sqref="Z21">
    <cfRule type="cellIs" priority="196" operator="greaterThan" aboveAverage="0" equalAverage="0" bottom="0" percent="0" rank="0" text="" dxfId="1219">
      <formula>0</formula>
    </cfRule>
    <cfRule type="expression" priority="197" aboveAverage="0" equalAverage="0" bottom="0" percent="0" rank="0" text="" dxfId="1220">
      <formula>Z20&gt;0</formula>
    </cfRule>
  </conditionalFormatting>
  <conditionalFormatting sqref="AA21">
    <cfRule type="cellIs" priority="198" operator="equal" aboveAverage="0" equalAverage="0" bottom="0" percent="0" rank="0" text="" dxfId="1221">
      <formula>"В"</formula>
    </cfRule>
  </conditionalFormatting>
  <conditionalFormatting sqref="AA21">
    <cfRule type="cellIs" priority="199" operator="greaterThan" aboveAverage="0" equalAverage="0" bottom="0" percent="0" rank="0" text="" dxfId="1222">
      <formula>0</formula>
    </cfRule>
    <cfRule type="expression" priority="200" aboveAverage="0" equalAverage="0" bottom="0" percent="0" rank="0" text="" dxfId="1223">
      <formula>AA20&gt;0</formula>
    </cfRule>
  </conditionalFormatting>
  <conditionalFormatting sqref="AB21">
    <cfRule type="cellIs" priority="201" operator="equal" aboveAverage="0" equalAverage="0" bottom="0" percent="0" rank="0" text="" dxfId="1224">
      <formula>"В"</formula>
    </cfRule>
  </conditionalFormatting>
  <conditionalFormatting sqref="AB21">
    <cfRule type="cellIs" priority="202" operator="greaterThan" aboveAverage="0" equalAverage="0" bottom="0" percent="0" rank="0" text="" dxfId="1225">
      <formula>0</formula>
    </cfRule>
    <cfRule type="expression" priority="203" aboveAverage="0" equalAverage="0" bottom="0" percent="0" rank="0" text="" dxfId="1226">
      <formula>AB20&gt;0</formula>
    </cfRule>
  </conditionalFormatting>
  <conditionalFormatting sqref="AC21">
    <cfRule type="cellIs" priority="204" operator="equal" aboveAverage="0" equalAverage="0" bottom="0" percent="0" rank="0" text="" dxfId="1227">
      <formula>"В"</formula>
    </cfRule>
  </conditionalFormatting>
  <conditionalFormatting sqref="AC21">
    <cfRule type="cellIs" priority="205" operator="greaterThan" aboveAverage="0" equalAverage="0" bottom="0" percent="0" rank="0" text="" dxfId="1228">
      <formula>0</formula>
    </cfRule>
    <cfRule type="expression" priority="206" aboveAverage="0" equalAverage="0" bottom="0" percent="0" rank="0" text="" dxfId="1229">
      <formula>AC20&gt;0</formula>
    </cfRule>
  </conditionalFormatting>
  <conditionalFormatting sqref="AD21">
    <cfRule type="cellIs" priority="207" operator="equal" aboveAverage="0" equalAverage="0" bottom="0" percent="0" rank="0" text="" dxfId="1230">
      <formula>"В"</formula>
    </cfRule>
  </conditionalFormatting>
  <conditionalFormatting sqref="AD21">
    <cfRule type="cellIs" priority="208" operator="greaterThan" aboveAverage="0" equalAverage="0" bottom="0" percent="0" rank="0" text="" dxfId="1231">
      <formula>0</formula>
    </cfRule>
    <cfRule type="expression" priority="209" aboveAverage="0" equalAverage="0" bottom="0" percent="0" rank="0" text="" dxfId="1232">
      <formula>AD20&gt;0</formula>
    </cfRule>
  </conditionalFormatting>
  <conditionalFormatting sqref="AE21">
    <cfRule type="cellIs" priority="210" operator="equal" aboveAverage="0" equalAverage="0" bottom="0" percent="0" rank="0" text="" dxfId="1233">
      <formula>"В"</formula>
    </cfRule>
  </conditionalFormatting>
  <conditionalFormatting sqref="AE21">
    <cfRule type="cellIs" priority="211" operator="greaterThan" aboveAverage="0" equalAverage="0" bottom="0" percent="0" rank="0" text="" dxfId="1234">
      <formula>0</formula>
    </cfRule>
    <cfRule type="expression" priority="212" aboveAverage="0" equalAverage="0" bottom="0" percent="0" rank="0" text="" dxfId="1235">
      <formula>AE20&gt;0</formula>
    </cfRule>
  </conditionalFormatting>
  <conditionalFormatting sqref="AF21">
    <cfRule type="cellIs" priority="213" operator="equal" aboveAverage="0" equalAverage="0" bottom="0" percent="0" rank="0" text="" dxfId="1236">
      <formula>"В"</formula>
    </cfRule>
  </conditionalFormatting>
  <conditionalFormatting sqref="AF21">
    <cfRule type="cellIs" priority="214" operator="greaterThan" aboveAverage="0" equalAverage="0" bottom="0" percent="0" rank="0" text="" dxfId="1237">
      <formula>0</formula>
    </cfRule>
    <cfRule type="expression" priority="215" aboveAverage="0" equalAverage="0" bottom="0" percent="0" rank="0" text="" dxfId="1238">
      <formula>AF20&gt;0</formula>
    </cfRule>
  </conditionalFormatting>
  <conditionalFormatting sqref="AG21">
    <cfRule type="cellIs" priority="216" operator="equal" aboveAverage="0" equalAverage="0" bottom="0" percent="0" rank="0" text="" dxfId="1239">
      <formula>"В"</formula>
    </cfRule>
  </conditionalFormatting>
  <conditionalFormatting sqref="AG21">
    <cfRule type="cellIs" priority="217" operator="greaterThan" aboveAverage="0" equalAverage="0" bottom="0" percent="0" rank="0" text="" dxfId="1240">
      <formula>0</formula>
    </cfRule>
    <cfRule type="expression" priority="218" aboveAverage="0" equalAverage="0" bottom="0" percent="0" rank="0" text="" dxfId="1241">
      <formula>AG20&gt;0</formula>
    </cfRule>
  </conditionalFormatting>
  <conditionalFormatting sqref="E31">
    <cfRule type="cellIs" priority="219" operator="greaterThan" aboveAverage="0" equalAverage="0" bottom="0" percent="0" rank="0" text="" dxfId="1242">
      <formula>0</formula>
    </cfRule>
    <cfRule type="expression" priority="220" aboveAverage="0" equalAverage="0" bottom="0" percent="0" rank="0" text="" dxfId="1243">
      <formula>E30&gt;0</formula>
    </cfRule>
  </conditionalFormatting>
  <conditionalFormatting sqref="E38">
    <cfRule type="cellIs" priority="221" operator="greaterThan" aboveAverage="0" equalAverage="0" bottom="0" percent="0" rank="0" text="" dxfId="1244">
      <formula>0</formula>
    </cfRule>
    <cfRule type="expression" priority="222" aboveAverage="0" equalAverage="0" bottom="0" percent="0" rank="0" text="" dxfId="1245">
      <formula>E37&gt;0</formula>
    </cfRule>
  </conditionalFormatting>
  <conditionalFormatting sqref="E40">
    <cfRule type="cellIs" priority="223" operator="greaterThan" aboveAverage="0" equalAverage="0" bottom="0" percent="0" rank="0" text="" dxfId="1246">
      <formula>0</formula>
    </cfRule>
    <cfRule type="expression" priority="224" aboveAverage="0" equalAverage="0" bottom="0" percent="0" rank="0" text="" dxfId="1247">
      <formula>E39&gt;0</formula>
    </cfRule>
  </conditionalFormatting>
  <conditionalFormatting sqref="E42">
    <cfRule type="cellIs" priority="225" operator="greaterThan" aboveAverage="0" equalAverage="0" bottom="0" percent="0" rank="0" text="" dxfId="1248">
      <formula>0</formula>
    </cfRule>
    <cfRule type="expression" priority="226" aboveAverage="0" equalAverage="0" bottom="0" percent="0" rank="0" text="" dxfId="1249">
      <formula>E41&gt;0</formula>
    </cfRule>
  </conditionalFormatting>
  <conditionalFormatting sqref="E44">
    <cfRule type="cellIs" priority="227" operator="greaterThan" aboveAverage="0" equalAverage="0" bottom="0" percent="0" rank="0" text="" dxfId="1250">
      <formula>0</formula>
    </cfRule>
    <cfRule type="expression" priority="228" aboveAverage="0" equalAverage="0" bottom="0" percent="0" rank="0" text="" dxfId="1251">
      <formula>E43&gt;0</formula>
    </cfRule>
  </conditionalFormatting>
  <conditionalFormatting sqref="E46">
    <cfRule type="cellIs" priority="229" operator="greaterThan" aboveAverage="0" equalAverage="0" bottom="0" percent="0" rank="0" text="" dxfId="1252">
      <formula>0</formula>
    </cfRule>
    <cfRule type="expression" priority="230" aboveAverage="0" equalAverage="0" bottom="0" percent="0" rank="0" text="" dxfId="1253">
      <formula>E45&gt;0</formula>
    </cfRule>
  </conditionalFormatting>
  <conditionalFormatting sqref="E48">
    <cfRule type="cellIs" priority="231" operator="greaterThan" aboveAverage="0" equalAverage="0" bottom="0" percent="0" rank="0" text="" dxfId="1254">
      <formula>0</formula>
    </cfRule>
    <cfRule type="expression" priority="232" aboveAverage="0" equalAverage="0" bottom="0" percent="0" rank="0" text="" dxfId="1255">
      <formula>E47&gt;0</formula>
    </cfRule>
  </conditionalFormatting>
  <conditionalFormatting sqref="E22">
    <cfRule type="cellIs" priority="233" operator="equal" aboveAverage="0" equalAverage="0" bottom="0" percent="0" rank="0" text="" dxfId="1256">
      <formula>"В"</formula>
    </cfRule>
  </conditionalFormatting>
  <conditionalFormatting sqref="E22">
    <cfRule type="cellIs" priority="234" operator="greaterThan" aboveAverage="0" equalAverage="0" bottom="0" percent="0" rank="0" text="" dxfId="1257">
      <formula>0</formula>
    </cfRule>
    <cfRule type="expression" priority="235" aboveAverage="0" equalAverage="0" bottom="0" percent="0" rank="0" text="" dxfId="1258">
      <formula>E21&gt;0</formula>
    </cfRule>
  </conditionalFormatting>
  <conditionalFormatting sqref="E23">
    <cfRule type="cellIs" priority="236" operator="equal" aboveAverage="0" equalAverage="0" bottom="0" percent="0" rank="0" text="" dxfId="1259">
      <formula>"В"</formula>
    </cfRule>
  </conditionalFormatting>
  <conditionalFormatting sqref="E23">
    <cfRule type="cellIs" priority="237" operator="greaterThan" aboveAverage="0" equalAverage="0" bottom="0" percent="0" rank="0" text="" dxfId="1260">
      <formula>0</formula>
    </cfRule>
    <cfRule type="expression" priority="238" aboveAverage="0" equalAverage="0" bottom="0" percent="0" rank="0" text="" dxfId="1261">
      <formula>E22&gt;0</formula>
    </cfRule>
  </conditionalFormatting>
  <conditionalFormatting sqref="E24">
    <cfRule type="cellIs" priority="239" operator="equal" aboveAverage="0" equalAverage="0" bottom="0" percent="0" rank="0" text="" dxfId="1262">
      <formula>"В"</formula>
    </cfRule>
  </conditionalFormatting>
  <conditionalFormatting sqref="E24">
    <cfRule type="cellIs" priority="240" operator="greaterThan" aboveAverage="0" equalAverage="0" bottom="0" percent="0" rank="0" text="" dxfId="1263">
      <formula>0</formula>
    </cfRule>
    <cfRule type="expression" priority="241" aboveAverage="0" equalAverage="0" bottom="0" percent="0" rank="0" text="" dxfId="1264">
      <formula>E23&gt;0</formula>
    </cfRule>
  </conditionalFormatting>
  <conditionalFormatting sqref="E25">
    <cfRule type="cellIs" priority="242" operator="equal" aboveAverage="0" equalAverage="0" bottom="0" percent="0" rank="0" text="" dxfId="1265">
      <formula>"В"</formula>
    </cfRule>
  </conditionalFormatting>
  <conditionalFormatting sqref="E25">
    <cfRule type="cellIs" priority="243" operator="greaterThan" aboveAverage="0" equalAverage="0" bottom="0" percent="0" rank="0" text="" dxfId="1266">
      <formula>0</formula>
    </cfRule>
    <cfRule type="expression" priority="244" aboveAverage="0" equalAverage="0" bottom="0" percent="0" rank="0" text="" dxfId="1267">
      <formula>E24&gt;0</formula>
    </cfRule>
  </conditionalFormatting>
  <conditionalFormatting sqref="E26">
    <cfRule type="cellIs" priority="245" operator="equal" aboveAverage="0" equalAverage="0" bottom="0" percent="0" rank="0" text="" dxfId="1268">
      <formula>"В"</formula>
    </cfRule>
  </conditionalFormatting>
  <conditionalFormatting sqref="E26">
    <cfRule type="cellIs" priority="246" operator="greaterThan" aboveAverage="0" equalAverage="0" bottom="0" percent="0" rank="0" text="" dxfId="1269">
      <formula>0</formula>
    </cfRule>
    <cfRule type="expression" priority="247" aboveAverage="0" equalAverage="0" bottom="0" percent="0" rank="0" text="" dxfId="1270">
      <formula>E25&gt;0</formula>
    </cfRule>
  </conditionalFormatting>
  <conditionalFormatting sqref="E27">
    <cfRule type="cellIs" priority="248" operator="equal" aboveAverage="0" equalAverage="0" bottom="0" percent="0" rank="0" text="" dxfId="1271">
      <formula>"В"</formula>
    </cfRule>
  </conditionalFormatting>
  <conditionalFormatting sqref="E27">
    <cfRule type="cellIs" priority="249" operator="greaterThan" aboveAverage="0" equalAverage="0" bottom="0" percent="0" rank="0" text="" dxfId="1272">
      <formula>0</formula>
    </cfRule>
    <cfRule type="expression" priority="250" aboveAverage="0" equalAverage="0" bottom="0" percent="0" rank="0" text="" dxfId="1273">
      <formula>E26&gt;0</formula>
    </cfRule>
  </conditionalFormatting>
  <conditionalFormatting sqref="E28">
    <cfRule type="cellIs" priority="251" operator="equal" aboveAverage="0" equalAverage="0" bottom="0" percent="0" rank="0" text="" dxfId="1274">
      <formula>"В"</formula>
    </cfRule>
  </conditionalFormatting>
  <conditionalFormatting sqref="E28">
    <cfRule type="cellIs" priority="252" operator="greaterThan" aboveAverage="0" equalAverage="0" bottom="0" percent="0" rank="0" text="" dxfId="1275">
      <formula>0</formula>
    </cfRule>
    <cfRule type="expression" priority="253" aboveAverage="0" equalAverage="0" bottom="0" percent="0" rank="0" text="" dxfId="1276">
      <formula>E27&gt;0</formula>
    </cfRule>
  </conditionalFormatting>
  <conditionalFormatting sqref="E29">
    <cfRule type="cellIs" priority="254" operator="equal" aboveAverage="0" equalAverage="0" bottom="0" percent="0" rank="0" text="" dxfId="1277">
      <formula>"В"</formula>
    </cfRule>
  </conditionalFormatting>
  <conditionalFormatting sqref="E29">
    <cfRule type="cellIs" priority="255" operator="greaterThan" aboveAverage="0" equalAverage="0" bottom="0" percent="0" rank="0" text="" dxfId="1278">
      <formula>0</formula>
    </cfRule>
    <cfRule type="expression" priority="256" aboveAverage="0" equalAverage="0" bottom="0" percent="0" rank="0" text="" dxfId="1279">
      <formula>E28&gt;0</formula>
    </cfRule>
  </conditionalFormatting>
  <conditionalFormatting sqref="E30">
    <cfRule type="cellIs" priority="257" operator="equal" aboveAverage="0" equalAverage="0" bottom="0" percent="0" rank="0" text="" dxfId="1280">
      <formula>"В"</formula>
    </cfRule>
  </conditionalFormatting>
  <conditionalFormatting sqref="E30">
    <cfRule type="cellIs" priority="258" operator="greaterThan" aboveAverage="0" equalAverage="0" bottom="0" percent="0" rank="0" text="" dxfId="1281">
      <formula>0</formula>
    </cfRule>
    <cfRule type="expression" priority="259" aboveAverage="0" equalAverage="0" bottom="0" percent="0" rank="0" text="" dxfId="1282">
      <formula>E29&gt;0</formula>
    </cfRule>
  </conditionalFormatting>
  <conditionalFormatting sqref="E31">
    <cfRule type="cellIs" priority="260" operator="equal" aboveAverage="0" equalAverage="0" bottom="0" percent="0" rank="0" text="" dxfId="1283">
      <formula>"В"</formula>
    </cfRule>
  </conditionalFormatting>
  <conditionalFormatting sqref="E32">
    <cfRule type="cellIs" priority="261" operator="equal" aboveAverage="0" equalAverage="0" bottom="0" percent="0" rank="0" text="" dxfId="1284">
      <formula>"В"</formula>
    </cfRule>
  </conditionalFormatting>
  <conditionalFormatting sqref="E32">
    <cfRule type="cellIs" priority="262" operator="greaterThan" aboveAverage="0" equalAverage="0" bottom="0" percent="0" rank="0" text="" dxfId="1285">
      <formula>0</formula>
    </cfRule>
    <cfRule type="expression" priority="263" aboveAverage="0" equalAverage="0" bottom="0" percent="0" rank="0" text="" dxfId="1286">
      <formula>E31&gt;0</formula>
    </cfRule>
  </conditionalFormatting>
  <conditionalFormatting sqref="E33">
    <cfRule type="cellIs" priority="264" operator="equal" aboveAverage="0" equalAverage="0" bottom="0" percent="0" rank="0" text="" dxfId="1287">
      <formula>"В"</formula>
    </cfRule>
  </conditionalFormatting>
  <conditionalFormatting sqref="E33">
    <cfRule type="cellIs" priority="265" operator="greaterThan" aboveAverage="0" equalAverage="0" bottom="0" percent="0" rank="0" text="" dxfId="1288">
      <formula>0</formula>
    </cfRule>
    <cfRule type="expression" priority="266" aboveAverage="0" equalAverage="0" bottom="0" percent="0" rank="0" text="" dxfId="1289">
      <formula>E32&gt;0</formula>
    </cfRule>
  </conditionalFormatting>
  <conditionalFormatting sqref="E34">
    <cfRule type="cellIs" priority="267" operator="equal" aboveAverage="0" equalAverage="0" bottom="0" percent="0" rank="0" text="" dxfId="1290">
      <formula>"В"</formula>
    </cfRule>
  </conditionalFormatting>
  <conditionalFormatting sqref="E34">
    <cfRule type="cellIs" priority="268" operator="greaterThan" aboveAverage="0" equalAverage="0" bottom="0" percent="0" rank="0" text="" dxfId="1291">
      <formula>0</formula>
    </cfRule>
    <cfRule type="expression" priority="269" aboveAverage="0" equalAverage="0" bottom="0" percent="0" rank="0" text="" dxfId="1292">
      <formula>E33&gt;0</formula>
    </cfRule>
  </conditionalFormatting>
  <conditionalFormatting sqref="E35">
    <cfRule type="cellIs" priority="270" operator="equal" aboveAverage="0" equalAverage="0" bottom="0" percent="0" rank="0" text="" dxfId="1293">
      <formula>"В"</formula>
    </cfRule>
  </conditionalFormatting>
  <conditionalFormatting sqref="E35">
    <cfRule type="cellIs" priority="271" operator="greaterThan" aboveAverage="0" equalAverage="0" bottom="0" percent="0" rank="0" text="" dxfId="1294">
      <formula>0</formula>
    </cfRule>
    <cfRule type="expression" priority="272" aboveAverage="0" equalAverage="0" bottom="0" percent="0" rank="0" text="" dxfId="1295">
      <formula>E34&gt;0</formula>
    </cfRule>
  </conditionalFormatting>
  <conditionalFormatting sqref="E36">
    <cfRule type="cellIs" priority="273" operator="equal" aboveAverage="0" equalAverage="0" bottom="0" percent="0" rank="0" text="" dxfId="1296">
      <formula>"В"</formula>
    </cfRule>
  </conditionalFormatting>
  <conditionalFormatting sqref="E36">
    <cfRule type="cellIs" priority="274" operator="greaterThan" aboveAverage="0" equalAverage="0" bottom="0" percent="0" rank="0" text="" dxfId="1297">
      <formula>0</formula>
    </cfRule>
    <cfRule type="expression" priority="275" aboveAverage="0" equalAverage="0" bottom="0" percent="0" rank="0" text="" dxfId="1298">
      <formula>E35&gt;0</formula>
    </cfRule>
  </conditionalFormatting>
  <conditionalFormatting sqref="E37">
    <cfRule type="cellIs" priority="276" operator="equal" aboveAverage="0" equalAverage="0" bottom="0" percent="0" rank="0" text="" dxfId="1299">
      <formula>"В"</formula>
    </cfRule>
  </conditionalFormatting>
  <conditionalFormatting sqref="E37">
    <cfRule type="cellIs" priority="277" operator="greaterThan" aboveAverage="0" equalAverage="0" bottom="0" percent="0" rank="0" text="" dxfId="1300">
      <formula>0</formula>
    </cfRule>
    <cfRule type="expression" priority="278" aboveAverage="0" equalAverage="0" bottom="0" percent="0" rank="0" text="" dxfId="1301">
      <formula>E36&gt;0</formula>
    </cfRule>
  </conditionalFormatting>
  <conditionalFormatting sqref="E38">
    <cfRule type="cellIs" priority="279" operator="equal" aboveAverage="0" equalAverage="0" bottom="0" percent="0" rank="0" text="" dxfId="1302">
      <formula>"В"</formula>
    </cfRule>
  </conditionalFormatting>
  <conditionalFormatting sqref="E39">
    <cfRule type="cellIs" priority="280" operator="equal" aboveAverage="0" equalAverage="0" bottom="0" percent="0" rank="0" text="" dxfId="1303">
      <formula>"В"</formula>
    </cfRule>
  </conditionalFormatting>
  <conditionalFormatting sqref="E39">
    <cfRule type="cellIs" priority="281" operator="greaterThan" aboveAverage="0" equalAverage="0" bottom="0" percent="0" rank="0" text="" dxfId="1304">
      <formula>0</formula>
    </cfRule>
    <cfRule type="expression" priority="282" aboveAverage="0" equalAverage="0" bottom="0" percent="0" rank="0" text="" dxfId="1305">
      <formula>E38&gt;0</formula>
    </cfRule>
  </conditionalFormatting>
  <conditionalFormatting sqref="E40">
    <cfRule type="cellIs" priority="283" operator="equal" aboveAverage="0" equalAverage="0" bottom="0" percent="0" rank="0" text="" dxfId="1306">
      <formula>"В"</formula>
    </cfRule>
  </conditionalFormatting>
  <conditionalFormatting sqref="E41">
    <cfRule type="cellIs" priority="284" operator="equal" aboveAverage="0" equalAverage="0" bottom="0" percent="0" rank="0" text="" dxfId="1307">
      <formula>"В"</formula>
    </cfRule>
  </conditionalFormatting>
  <conditionalFormatting sqref="E41">
    <cfRule type="cellIs" priority="285" operator="greaterThan" aboveAverage="0" equalAverage="0" bottom="0" percent="0" rank="0" text="" dxfId="1308">
      <formula>0</formula>
    </cfRule>
    <cfRule type="expression" priority="286" aboveAverage="0" equalAverage="0" bottom="0" percent="0" rank="0" text="" dxfId="1309">
      <formula>E40&gt;0</formula>
    </cfRule>
  </conditionalFormatting>
  <conditionalFormatting sqref="E42">
    <cfRule type="cellIs" priority="287" operator="equal" aboveAverage="0" equalAverage="0" bottom="0" percent="0" rank="0" text="" dxfId="1310">
      <formula>"В"</formula>
    </cfRule>
  </conditionalFormatting>
  <conditionalFormatting sqref="E43">
    <cfRule type="cellIs" priority="288" operator="equal" aboveAverage="0" equalAverage="0" bottom="0" percent="0" rank="0" text="" dxfId="1311">
      <formula>"В"</formula>
    </cfRule>
  </conditionalFormatting>
  <conditionalFormatting sqref="E43">
    <cfRule type="cellIs" priority="289" operator="greaterThan" aboveAverage="0" equalAverage="0" bottom="0" percent="0" rank="0" text="" dxfId="1312">
      <formula>0</formula>
    </cfRule>
    <cfRule type="expression" priority="290" aboveAverage="0" equalAverage="0" bottom="0" percent="0" rank="0" text="" dxfId="1313">
      <formula>E42&gt;0</formula>
    </cfRule>
  </conditionalFormatting>
  <conditionalFormatting sqref="E44">
    <cfRule type="cellIs" priority="291" operator="equal" aboveAverage="0" equalAverage="0" bottom="0" percent="0" rank="0" text="" dxfId="1314">
      <formula>"В"</formula>
    </cfRule>
  </conditionalFormatting>
  <conditionalFormatting sqref="E45">
    <cfRule type="cellIs" priority="292" operator="equal" aboveAverage="0" equalAverage="0" bottom="0" percent="0" rank="0" text="" dxfId="1315">
      <formula>"В"</formula>
    </cfRule>
  </conditionalFormatting>
  <conditionalFormatting sqref="E45">
    <cfRule type="cellIs" priority="293" operator="greaterThan" aboveAverage="0" equalAverage="0" bottom="0" percent="0" rank="0" text="" dxfId="1316">
      <formula>0</formula>
    </cfRule>
    <cfRule type="expression" priority="294" aboveAverage="0" equalAverage="0" bottom="0" percent="0" rank="0" text="" dxfId="1317">
      <formula>E44&gt;0</formula>
    </cfRule>
  </conditionalFormatting>
  <conditionalFormatting sqref="E46">
    <cfRule type="cellIs" priority="295" operator="equal" aboveAverage="0" equalAverage="0" bottom="0" percent="0" rank="0" text="" dxfId="1318">
      <formula>"В"</formula>
    </cfRule>
  </conditionalFormatting>
  <conditionalFormatting sqref="E47">
    <cfRule type="cellIs" priority="296" operator="equal" aboveAverage="0" equalAverage="0" bottom="0" percent="0" rank="0" text="" dxfId="1319">
      <formula>"В"</formula>
    </cfRule>
  </conditionalFormatting>
  <conditionalFormatting sqref="E47">
    <cfRule type="cellIs" priority="297" operator="greaterThan" aboveAverage="0" equalAverage="0" bottom="0" percent="0" rank="0" text="" dxfId="1320">
      <formula>0</formula>
    </cfRule>
    <cfRule type="expression" priority="298" aboveAverage="0" equalAverage="0" bottom="0" percent="0" rank="0" text="" dxfId="1321">
      <formula>E46&gt;0</formula>
    </cfRule>
  </conditionalFormatting>
  <conditionalFormatting sqref="E48">
    <cfRule type="cellIs" priority="299" operator="equal" aboveAverage="0" equalAverage="0" bottom="0" percent="0" rank="0" text="" dxfId="1322">
      <formula>"В"</formula>
    </cfRule>
  </conditionalFormatting>
  <conditionalFormatting sqref="E49">
    <cfRule type="cellIs" priority="300" operator="equal" aboveAverage="0" equalAverage="0" bottom="0" percent="0" rank="0" text="" dxfId="1323">
      <formula>"В"</formula>
    </cfRule>
  </conditionalFormatting>
  <conditionalFormatting sqref="E49">
    <cfRule type="cellIs" priority="301" operator="greaterThan" aboveAverage="0" equalAverage="0" bottom="0" percent="0" rank="0" text="" dxfId="1324">
      <formula>0</formula>
    </cfRule>
    <cfRule type="expression" priority="302" aboveAverage="0" equalAverage="0" bottom="0" percent="0" rank="0" text="" dxfId="1325">
      <formula>E48&gt;0</formula>
    </cfRule>
  </conditionalFormatting>
  <conditionalFormatting sqref="F22">
    <cfRule type="cellIs" priority="303" operator="equal" aboveAverage="0" equalAverage="0" bottom="0" percent="0" rank="0" text="" dxfId="1326">
      <formula>"В"</formula>
    </cfRule>
  </conditionalFormatting>
  <conditionalFormatting sqref="F22">
    <cfRule type="cellIs" priority="304" operator="greaterThan" aboveAverage="0" equalAverage="0" bottom="0" percent="0" rank="0" text="" dxfId="1327">
      <formula>0</formula>
    </cfRule>
    <cfRule type="expression" priority="305" aboveAverage="0" equalAverage="0" bottom="0" percent="0" rank="0" text="" dxfId="1328">
      <formula>F21&gt;0</formula>
    </cfRule>
  </conditionalFormatting>
  <conditionalFormatting sqref="F23">
    <cfRule type="cellIs" priority="306" operator="equal" aboveAverage="0" equalAverage="0" bottom="0" percent="0" rank="0" text="" dxfId="1329">
      <formula>"В"</formula>
    </cfRule>
  </conditionalFormatting>
  <conditionalFormatting sqref="F23">
    <cfRule type="cellIs" priority="307" operator="greaterThan" aboveAverage="0" equalAverage="0" bottom="0" percent="0" rank="0" text="" dxfId="1330">
      <formula>0</formula>
    </cfRule>
    <cfRule type="expression" priority="308" aboveAverage="0" equalAverage="0" bottom="0" percent="0" rank="0" text="" dxfId="1331">
      <formula>F22&gt;0</formula>
    </cfRule>
  </conditionalFormatting>
  <conditionalFormatting sqref="F24">
    <cfRule type="cellIs" priority="309" operator="equal" aboveAverage="0" equalAverage="0" bottom="0" percent="0" rank="0" text="" dxfId="1332">
      <formula>"В"</formula>
    </cfRule>
  </conditionalFormatting>
  <conditionalFormatting sqref="F24">
    <cfRule type="cellIs" priority="310" operator="greaterThan" aboveAverage="0" equalAverage="0" bottom="0" percent="0" rank="0" text="" dxfId="1333">
      <formula>0</formula>
    </cfRule>
    <cfRule type="expression" priority="311" aboveAverage="0" equalAverage="0" bottom="0" percent="0" rank="0" text="" dxfId="1334">
      <formula>F23&gt;0</formula>
    </cfRule>
  </conditionalFormatting>
  <conditionalFormatting sqref="F25">
    <cfRule type="cellIs" priority="312" operator="equal" aboveAverage="0" equalAverage="0" bottom="0" percent="0" rank="0" text="" dxfId="1335">
      <formula>"В"</formula>
    </cfRule>
  </conditionalFormatting>
  <conditionalFormatting sqref="F25">
    <cfRule type="cellIs" priority="313" operator="greaterThan" aboveAverage="0" equalAverage="0" bottom="0" percent="0" rank="0" text="" dxfId="1336">
      <formula>0</formula>
    </cfRule>
    <cfRule type="expression" priority="314" aboveAverage="0" equalAverage="0" bottom="0" percent="0" rank="0" text="" dxfId="1337">
      <formula>F24&gt;0</formula>
    </cfRule>
  </conditionalFormatting>
  <conditionalFormatting sqref="F26">
    <cfRule type="cellIs" priority="315" operator="equal" aboveAverage="0" equalAverage="0" bottom="0" percent="0" rank="0" text="" dxfId="1338">
      <formula>"В"</formula>
    </cfRule>
  </conditionalFormatting>
  <conditionalFormatting sqref="F26">
    <cfRule type="cellIs" priority="316" operator="greaterThan" aboveAverage="0" equalAverage="0" bottom="0" percent="0" rank="0" text="" dxfId="1339">
      <formula>0</formula>
    </cfRule>
    <cfRule type="expression" priority="317" aboveAverage="0" equalAverage="0" bottom="0" percent="0" rank="0" text="" dxfId="1340">
      <formula>F25&gt;0</formula>
    </cfRule>
  </conditionalFormatting>
  <conditionalFormatting sqref="F27">
    <cfRule type="cellIs" priority="318" operator="equal" aboveAverage="0" equalAverage="0" bottom="0" percent="0" rank="0" text="" dxfId="1341">
      <formula>"В"</formula>
    </cfRule>
  </conditionalFormatting>
  <conditionalFormatting sqref="F27">
    <cfRule type="cellIs" priority="319" operator="greaterThan" aboveAverage="0" equalAverage="0" bottom="0" percent="0" rank="0" text="" dxfId="1342">
      <formula>0</formula>
    </cfRule>
    <cfRule type="expression" priority="320" aboveAverage="0" equalAverage="0" bottom="0" percent="0" rank="0" text="" dxfId="1343">
      <formula>F26&gt;0</formula>
    </cfRule>
  </conditionalFormatting>
  <conditionalFormatting sqref="F28">
    <cfRule type="cellIs" priority="321" operator="equal" aboveAverage="0" equalAverage="0" bottom="0" percent="0" rank="0" text="" dxfId="1344">
      <formula>"В"</formula>
    </cfRule>
  </conditionalFormatting>
  <conditionalFormatting sqref="F28">
    <cfRule type="cellIs" priority="322" operator="greaterThan" aboveAverage="0" equalAverage="0" bottom="0" percent="0" rank="0" text="" dxfId="1345">
      <formula>0</formula>
    </cfRule>
    <cfRule type="expression" priority="323" aboveAverage="0" equalAverage="0" bottom="0" percent="0" rank="0" text="" dxfId="1346">
      <formula>F27&gt;0</formula>
    </cfRule>
  </conditionalFormatting>
  <conditionalFormatting sqref="F29">
    <cfRule type="cellIs" priority="324" operator="equal" aboveAverage="0" equalAverage="0" bottom="0" percent="0" rank="0" text="" dxfId="1347">
      <formula>"В"</formula>
    </cfRule>
  </conditionalFormatting>
  <conditionalFormatting sqref="F29">
    <cfRule type="cellIs" priority="325" operator="greaterThan" aboveAverage="0" equalAverage="0" bottom="0" percent="0" rank="0" text="" dxfId="1348">
      <formula>0</formula>
    </cfRule>
    <cfRule type="expression" priority="326" aboveAverage="0" equalAverage="0" bottom="0" percent="0" rank="0" text="" dxfId="1349">
      <formula>F28&gt;0</formula>
    </cfRule>
  </conditionalFormatting>
  <conditionalFormatting sqref="F30">
    <cfRule type="cellIs" priority="327" operator="equal" aboveAverage="0" equalAverage="0" bottom="0" percent="0" rank="0" text="" dxfId="1350">
      <formula>"В"</formula>
    </cfRule>
  </conditionalFormatting>
  <conditionalFormatting sqref="F30">
    <cfRule type="cellIs" priority="328" operator="greaterThan" aboveAverage="0" equalAverage="0" bottom="0" percent="0" rank="0" text="" dxfId="1351">
      <formula>0</formula>
    </cfRule>
    <cfRule type="expression" priority="329" aboveAverage="0" equalAverage="0" bottom="0" percent="0" rank="0" text="" dxfId="1352">
      <formula>F29&gt;0</formula>
    </cfRule>
  </conditionalFormatting>
  <conditionalFormatting sqref="F31">
    <cfRule type="cellIs" priority="330" operator="equal" aboveAverage="0" equalAverage="0" bottom="0" percent="0" rank="0" text="" dxfId="1353">
      <formula>"В"</formula>
    </cfRule>
  </conditionalFormatting>
  <conditionalFormatting sqref="F31">
    <cfRule type="cellIs" priority="331" operator="greaterThan" aboveAverage="0" equalAverage="0" bottom="0" percent="0" rank="0" text="" dxfId="1354">
      <formula>0</formula>
    </cfRule>
    <cfRule type="expression" priority="332" aboveAverage="0" equalAverage="0" bottom="0" percent="0" rank="0" text="" dxfId="1355">
      <formula>F30&gt;0</formula>
    </cfRule>
  </conditionalFormatting>
  <conditionalFormatting sqref="F32">
    <cfRule type="cellIs" priority="333" operator="equal" aboveAverage="0" equalAverage="0" bottom="0" percent="0" rank="0" text="" dxfId="1356">
      <formula>"В"</formula>
    </cfRule>
  </conditionalFormatting>
  <conditionalFormatting sqref="F32">
    <cfRule type="cellIs" priority="334" operator="greaterThan" aboveAverage="0" equalAverage="0" bottom="0" percent="0" rank="0" text="" dxfId="1357">
      <formula>0</formula>
    </cfRule>
    <cfRule type="expression" priority="335" aboveAverage="0" equalAverage="0" bottom="0" percent="0" rank="0" text="" dxfId="1358">
      <formula>F31&gt;0</formula>
    </cfRule>
  </conditionalFormatting>
  <conditionalFormatting sqref="F33">
    <cfRule type="cellIs" priority="336" operator="equal" aboveAverage="0" equalAverage="0" bottom="0" percent="0" rank="0" text="" dxfId="1359">
      <formula>"В"</formula>
    </cfRule>
  </conditionalFormatting>
  <conditionalFormatting sqref="F33">
    <cfRule type="cellIs" priority="337" operator="greaterThan" aboveAverage="0" equalAverage="0" bottom="0" percent="0" rank="0" text="" dxfId="1360">
      <formula>0</formula>
    </cfRule>
    <cfRule type="expression" priority="338" aboveAverage="0" equalAverage="0" bottom="0" percent="0" rank="0" text="" dxfId="1361">
      <formula>F32&gt;0</formula>
    </cfRule>
  </conditionalFormatting>
  <conditionalFormatting sqref="F34">
    <cfRule type="cellIs" priority="339" operator="equal" aboveAverage="0" equalAverage="0" bottom="0" percent="0" rank="0" text="" dxfId="1362">
      <formula>"В"</formula>
    </cfRule>
  </conditionalFormatting>
  <conditionalFormatting sqref="F34">
    <cfRule type="cellIs" priority="340" operator="greaterThan" aboveAverage="0" equalAverage="0" bottom="0" percent="0" rank="0" text="" dxfId="1363">
      <formula>0</formula>
    </cfRule>
    <cfRule type="expression" priority="341" aboveAverage="0" equalAverage="0" bottom="0" percent="0" rank="0" text="" dxfId="1364">
      <formula>F33&gt;0</formula>
    </cfRule>
  </conditionalFormatting>
  <conditionalFormatting sqref="F35">
    <cfRule type="cellIs" priority="342" operator="equal" aboveAverage="0" equalAverage="0" bottom="0" percent="0" rank="0" text="" dxfId="1365">
      <formula>"В"</formula>
    </cfRule>
  </conditionalFormatting>
  <conditionalFormatting sqref="F35">
    <cfRule type="cellIs" priority="343" operator="greaterThan" aboveAverage="0" equalAverage="0" bottom="0" percent="0" rank="0" text="" dxfId="1366">
      <formula>0</formula>
    </cfRule>
    <cfRule type="expression" priority="344" aboveAverage="0" equalAverage="0" bottom="0" percent="0" rank="0" text="" dxfId="1367">
      <formula>F34&gt;0</formula>
    </cfRule>
  </conditionalFormatting>
  <conditionalFormatting sqref="F36">
    <cfRule type="cellIs" priority="345" operator="equal" aboveAverage="0" equalAverage="0" bottom="0" percent="0" rank="0" text="" dxfId="1368">
      <formula>"В"</formula>
    </cfRule>
  </conditionalFormatting>
  <conditionalFormatting sqref="F36">
    <cfRule type="cellIs" priority="346" operator="greaterThan" aboveAverage="0" equalAverage="0" bottom="0" percent="0" rank="0" text="" dxfId="1369">
      <formula>0</formula>
    </cfRule>
    <cfRule type="expression" priority="347" aboveAverage="0" equalAverage="0" bottom="0" percent="0" rank="0" text="" dxfId="1370">
      <formula>F35&gt;0</formula>
    </cfRule>
  </conditionalFormatting>
  <conditionalFormatting sqref="F37">
    <cfRule type="cellIs" priority="348" operator="equal" aboveAverage="0" equalAverage="0" bottom="0" percent="0" rank="0" text="" dxfId="1371">
      <formula>"В"</formula>
    </cfRule>
  </conditionalFormatting>
  <conditionalFormatting sqref="F37">
    <cfRule type="cellIs" priority="349" operator="greaterThan" aboveAverage="0" equalAverage="0" bottom="0" percent="0" rank="0" text="" dxfId="1372">
      <formula>0</formula>
    </cfRule>
    <cfRule type="expression" priority="350" aboveAverage="0" equalAverage="0" bottom="0" percent="0" rank="0" text="" dxfId="1373">
      <formula>F36&gt;0</formula>
    </cfRule>
  </conditionalFormatting>
  <conditionalFormatting sqref="F38">
    <cfRule type="cellIs" priority="351" operator="equal" aboveAverage="0" equalAverage="0" bottom="0" percent="0" rank="0" text="" dxfId="1374">
      <formula>"В"</formula>
    </cfRule>
  </conditionalFormatting>
  <conditionalFormatting sqref="F38">
    <cfRule type="cellIs" priority="352" operator="greaterThan" aboveAverage="0" equalAverage="0" bottom="0" percent="0" rank="0" text="" dxfId="1375">
      <formula>0</formula>
    </cfRule>
    <cfRule type="expression" priority="353" aboveAverage="0" equalAverage="0" bottom="0" percent="0" rank="0" text="" dxfId="1376">
      <formula>F37&gt;0</formula>
    </cfRule>
  </conditionalFormatting>
  <conditionalFormatting sqref="F39">
    <cfRule type="cellIs" priority="354" operator="equal" aboveAverage="0" equalAverage="0" bottom="0" percent="0" rank="0" text="" dxfId="1377">
      <formula>"В"</formula>
    </cfRule>
  </conditionalFormatting>
  <conditionalFormatting sqref="F39">
    <cfRule type="cellIs" priority="355" operator="greaterThan" aboveAverage="0" equalAverage="0" bottom="0" percent="0" rank="0" text="" dxfId="1378">
      <formula>0</formula>
    </cfRule>
    <cfRule type="expression" priority="356" aboveAverage="0" equalAverage="0" bottom="0" percent="0" rank="0" text="" dxfId="1379">
      <formula>F38&gt;0</formula>
    </cfRule>
  </conditionalFormatting>
  <conditionalFormatting sqref="F40">
    <cfRule type="cellIs" priority="357" operator="equal" aboveAverage="0" equalAverage="0" bottom="0" percent="0" rank="0" text="" dxfId="1380">
      <formula>"В"</formula>
    </cfRule>
  </conditionalFormatting>
  <conditionalFormatting sqref="F40">
    <cfRule type="cellIs" priority="358" operator="greaterThan" aboveAverage="0" equalAverage="0" bottom="0" percent="0" rank="0" text="" dxfId="1381">
      <formula>0</formula>
    </cfRule>
    <cfRule type="expression" priority="359" aboveAverage="0" equalAverage="0" bottom="0" percent="0" rank="0" text="" dxfId="1382">
      <formula>F39&gt;0</formula>
    </cfRule>
  </conditionalFormatting>
  <conditionalFormatting sqref="F41">
    <cfRule type="cellIs" priority="360" operator="equal" aboveAverage="0" equalAverage="0" bottom="0" percent="0" rank="0" text="" dxfId="1383">
      <formula>"В"</formula>
    </cfRule>
  </conditionalFormatting>
  <conditionalFormatting sqref="F41">
    <cfRule type="cellIs" priority="361" operator="greaterThan" aboveAverage="0" equalAverage="0" bottom="0" percent="0" rank="0" text="" dxfId="1384">
      <formula>0</formula>
    </cfRule>
    <cfRule type="expression" priority="362" aboveAverage="0" equalAverage="0" bottom="0" percent="0" rank="0" text="" dxfId="1385">
      <formula>F40&gt;0</formula>
    </cfRule>
  </conditionalFormatting>
  <conditionalFormatting sqref="F42">
    <cfRule type="cellIs" priority="363" operator="equal" aboveAverage="0" equalAverage="0" bottom="0" percent="0" rank="0" text="" dxfId="1386">
      <formula>"В"</formula>
    </cfRule>
  </conditionalFormatting>
  <conditionalFormatting sqref="F42">
    <cfRule type="cellIs" priority="364" operator="greaterThan" aboveAverage="0" equalAverage="0" bottom="0" percent="0" rank="0" text="" dxfId="1387">
      <formula>0</formula>
    </cfRule>
    <cfRule type="expression" priority="365" aboveAverage="0" equalAverage="0" bottom="0" percent="0" rank="0" text="" dxfId="1388">
      <formula>F41&gt;0</formula>
    </cfRule>
  </conditionalFormatting>
  <conditionalFormatting sqref="F43">
    <cfRule type="cellIs" priority="366" operator="equal" aboveAverage="0" equalAverage="0" bottom="0" percent="0" rank="0" text="" dxfId="1389">
      <formula>"В"</formula>
    </cfRule>
  </conditionalFormatting>
  <conditionalFormatting sqref="F43">
    <cfRule type="cellIs" priority="367" operator="greaterThan" aboveAverage="0" equalAverage="0" bottom="0" percent="0" rank="0" text="" dxfId="1390">
      <formula>0</formula>
    </cfRule>
    <cfRule type="expression" priority="368" aboveAverage="0" equalAverage="0" bottom="0" percent="0" rank="0" text="" dxfId="1391">
      <formula>F42&gt;0</formula>
    </cfRule>
  </conditionalFormatting>
  <conditionalFormatting sqref="F44">
    <cfRule type="cellIs" priority="369" operator="equal" aboveAverage="0" equalAverage="0" bottom="0" percent="0" rank="0" text="" dxfId="1392">
      <formula>"В"</formula>
    </cfRule>
  </conditionalFormatting>
  <conditionalFormatting sqref="F44">
    <cfRule type="cellIs" priority="370" operator="greaterThan" aboveAverage="0" equalAverage="0" bottom="0" percent="0" rank="0" text="" dxfId="1393">
      <formula>0</formula>
    </cfRule>
    <cfRule type="expression" priority="371" aboveAverage="0" equalAverage="0" bottom="0" percent="0" rank="0" text="" dxfId="1394">
      <formula>F43&gt;0</formula>
    </cfRule>
  </conditionalFormatting>
  <conditionalFormatting sqref="F45">
    <cfRule type="cellIs" priority="372" operator="equal" aboveAverage="0" equalAverage="0" bottom="0" percent="0" rank="0" text="" dxfId="1395">
      <formula>"В"</formula>
    </cfRule>
  </conditionalFormatting>
  <conditionalFormatting sqref="F45">
    <cfRule type="cellIs" priority="373" operator="greaterThan" aboveAverage="0" equalAverage="0" bottom="0" percent="0" rank="0" text="" dxfId="1396">
      <formula>0</formula>
    </cfRule>
    <cfRule type="expression" priority="374" aboveAverage="0" equalAverage="0" bottom="0" percent="0" rank="0" text="" dxfId="1397">
      <formula>F44&gt;0</formula>
    </cfRule>
  </conditionalFormatting>
  <conditionalFormatting sqref="F46">
    <cfRule type="cellIs" priority="375" operator="equal" aboveAverage="0" equalAverage="0" bottom="0" percent="0" rank="0" text="" dxfId="1398">
      <formula>"В"</formula>
    </cfRule>
  </conditionalFormatting>
  <conditionalFormatting sqref="F46">
    <cfRule type="cellIs" priority="376" operator="greaterThan" aboveAverage="0" equalAverage="0" bottom="0" percent="0" rank="0" text="" dxfId="1399">
      <formula>0</formula>
    </cfRule>
    <cfRule type="expression" priority="377" aboveAverage="0" equalAverage="0" bottom="0" percent="0" rank="0" text="" dxfId="1400">
      <formula>F45&gt;0</formula>
    </cfRule>
  </conditionalFormatting>
  <conditionalFormatting sqref="F47">
    <cfRule type="cellIs" priority="378" operator="equal" aboveAverage="0" equalAverage="0" bottom="0" percent="0" rank="0" text="" dxfId="1401">
      <formula>"В"</formula>
    </cfRule>
  </conditionalFormatting>
  <conditionalFormatting sqref="F47">
    <cfRule type="cellIs" priority="379" operator="greaterThan" aboveAverage="0" equalAverage="0" bottom="0" percent="0" rank="0" text="" dxfId="1402">
      <formula>0</formula>
    </cfRule>
    <cfRule type="expression" priority="380" aboveAverage="0" equalAverage="0" bottom="0" percent="0" rank="0" text="" dxfId="1403">
      <formula>F46&gt;0</formula>
    </cfRule>
  </conditionalFormatting>
  <conditionalFormatting sqref="F48">
    <cfRule type="cellIs" priority="381" operator="equal" aboveAverage="0" equalAverage="0" bottom="0" percent="0" rank="0" text="" dxfId="1404">
      <formula>"В"</formula>
    </cfRule>
  </conditionalFormatting>
  <conditionalFormatting sqref="F48">
    <cfRule type="cellIs" priority="382" operator="greaterThan" aboveAverage="0" equalAverage="0" bottom="0" percent="0" rank="0" text="" dxfId="1405">
      <formula>0</formula>
    </cfRule>
    <cfRule type="expression" priority="383" aboveAverage="0" equalAverage="0" bottom="0" percent="0" rank="0" text="" dxfId="1406">
      <formula>F47&gt;0</formula>
    </cfRule>
  </conditionalFormatting>
  <conditionalFormatting sqref="F49">
    <cfRule type="cellIs" priority="384" operator="equal" aboveAverage="0" equalAverage="0" bottom="0" percent="0" rank="0" text="" dxfId="1407">
      <formula>"В"</formula>
    </cfRule>
  </conditionalFormatting>
  <conditionalFormatting sqref="F49">
    <cfRule type="cellIs" priority="385" operator="greaterThan" aboveAverage="0" equalAverage="0" bottom="0" percent="0" rank="0" text="" dxfId="1408">
      <formula>0</formula>
    </cfRule>
    <cfRule type="expression" priority="386" aboveAverage="0" equalAverage="0" bottom="0" percent="0" rank="0" text="" dxfId="1409">
      <formula>F48&gt;0</formula>
    </cfRule>
  </conditionalFormatting>
  <conditionalFormatting sqref="G22">
    <cfRule type="cellIs" priority="387" operator="equal" aboveAverage="0" equalAverage="0" bottom="0" percent="0" rank="0" text="" dxfId="1410">
      <formula>"В"</formula>
    </cfRule>
  </conditionalFormatting>
  <conditionalFormatting sqref="G22">
    <cfRule type="cellIs" priority="388" operator="greaterThan" aboveAverage="0" equalAverage="0" bottom="0" percent="0" rank="0" text="" dxfId="1411">
      <formula>0</formula>
    </cfRule>
    <cfRule type="expression" priority="389" aboveAverage="0" equalAverage="0" bottom="0" percent="0" rank="0" text="" dxfId="1412">
      <formula>G21&gt;0</formula>
    </cfRule>
  </conditionalFormatting>
  <conditionalFormatting sqref="G23">
    <cfRule type="cellIs" priority="390" operator="equal" aboveAverage="0" equalAverage="0" bottom="0" percent="0" rank="0" text="" dxfId="1413">
      <formula>"В"</formula>
    </cfRule>
  </conditionalFormatting>
  <conditionalFormatting sqref="G23">
    <cfRule type="cellIs" priority="391" operator="greaterThan" aboveAverage="0" equalAverage="0" bottom="0" percent="0" rank="0" text="" dxfId="1414">
      <formula>0</formula>
    </cfRule>
    <cfRule type="expression" priority="392" aboveAverage="0" equalAverage="0" bottom="0" percent="0" rank="0" text="" dxfId="1415">
      <formula>G22&gt;0</formula>
    </cfRule>
  </conditionalFormatting>
  <conditionalFormatting sqref="G24">
    <cfRule type="cellIs" priority="393" operator="equal" aboveAverage="0" equalAverage="0" bottom="0" percent="0" rank="0" text="" dxfId="1416">
      <formula>"В"</formula>
    </cfRule>
  </conditionalFormatting>
  <conditionalFormatting sqref="G24">
    <cfRule type="cellIs" priority="394" operator="greaterThan" aboveAverage="0" equalAverage="0" bottom="0" percent="0" rank="0" text="" dxfId="1417">
      <formula>0</formula>
    </cfRule>
    <cfRule type="expression" priority="395" aboveAverage="0" equalAverage="0" bottom="0" percent="0" rank="0" text="" dxfId="1418">
      <formula>G23&gt;0</formula>
    </cfRule>
  </conditionalFormatting>
  <conditionalFormatting sqref="G25">
    <cfRule type="cellIs" priority="396" operator="equal" aboveAverage="0" equalAverage="0" bottom="0" percent="0" rank="0" text="" dxfId="1419">
      <formula>"В"</formula>
    </cfRule>
  </conditionalFormatting>
  <conditionalFormatting sqref="G25">
    <cfRule type="cellIs" priority="397" operator="greaterThan" aboveAverage="0" equalAverage="0" bottom="0" percent="0" rank="0" text="" dxfId="1420">
      <formula>0</formula>
    </cfRule>
    <cfRule type="expression" priority="398" aboveAverage="0" equalAverage="0" bottom="0" percent="0" rank="0" text="" dxfId="1421">
      <formula>G24&gt;0</formula>
    </cfRule>
  </conditionalFormatting>
  <conditionalFormatting sqref="G26">
    <cfRule type="cellIs" priority="399" operator="equal" aboveAverage="0" equalAverage="0" bottom="0" percent="0" rank="0" text="" dxfId="1422">
      <formula>"В"</formula>
    </cfRule>
  </conditionalFormatting>
  <conditionalFormatting sqref="G26">
    <cfRule type="cellIs" priority="400" operator="greaterThan" aboveAverage="0" equalAverage="0" bottom="0" percent="0" rank="0" text="" dxfId="1423">
      <formula>0</formula>
    </cfRule>
    <cfRule type="expression" priority="401" aboveAverage="0" equalAverage="0" bottom="0" percent="0" rank="0" text="" dxfId="1424">
      <formula>G25&gt;0</formula>
    </cfRule>
  </conditionalFormatting>
  <conditionalFormatting sqref="G27">
    <cfRule type="cellIs" priority="402" operator="equal" aboveAverage="0" equalAverage="0" bottom="0" percent="0" rank="0" text="" dxfId="1425">
      <formula>"В"</formula>
    </cfRule>
  </conditionalFormatting>
  <conditionalFormatting sqref="G27">
    <cfRule type="cellIs" priority="403" operator="greaterThan" aboveAverage="0" equalAverage="0" bottom="0" percent="0" rank="0" text="" dxfId="1426">
      <formula>0</formula>
    </cfRule>
    <cfRule type="expression" priority="404" aboveAverage="0" equalAverage="0" bottom="0" percent="0" rank="0" text="" dxfId="1427">
      <formula>G26&gt;0</formula>
    </cfRule>
  </conditionalFormatting>
  <conditionalFormatting sqref="G28">
    <cfRule type="cellIs" priority="405" operator="equal" aboveAverage="0" equalAverage="0" bottom="0" percent="0" rank="0" text="" dxfId="1428">
      <formula>"В"</formula>
    </cfRule>
  </conditionalFormatting>
  <conditionalFormatting sqref="G28">
    <cfRule type="cellIs" priority="406" operator="greaterThan" aboveAverage="0" equalAverage="0" bottom="0" percent="0" rank="0" text="" dxfId="1429">
      <formula>0</formula>
    </cfRule>
    <cfRule type="expression" priority="407" aboveAverage="0" equalAverage="0" bottom="0" percent="0" rank="0" text="" dxfId="1430">
      <formula>G27&gt;0</formula>
    </cfRule>
  </conditionalFormatting>
  <conditionalFormatting sqref="G29">
    <cfRule type="cellIs" priority="408" operator="equal" aboveAverage="0" equalAverage="0" bottom="0" percent="0" rank="0" text="" dxfId="1431">
      <formula>"В"</formula>
    </cfRule>
  </conditionalFormatting>
  <conditionalFormatting sqref="G29">
    <cfRule type="cellIs" priority="409" operator="greaterThan" aboveAverage="0" equalAverage="0" bottom="0" percent="0" rank="0" text="" dxfId="1432">
      <formula>0</formula>
    </cfRule>
    <cfRule type="expression" priority="410" aboveAverage="0" equalAverage="0" bottom="0" percent="0" rank="0" text="" dxfId="1433">
      <formula>G28&gt;0</formula>
    </cfRule>
  </conditionalFormatting>
  <conditionalFormatting sqref="G30">
    <cfRule type="cellIs" priority="411" operator="equal" aboveAverage="0" equalAverage="0" bottom="0" percent="0" rank="0" text="" dxfId="1434">
      <formula>"В"</formula>
    </cfRule>
  </conditionalFormatting>
  <conditionalFormatting sqref="G30">
    <cfRule type="cellIs" priority="412" operator="greaterThan" aboveAverage="0" equalAverage="0" bottom="0" percent="0" rank="0" text="" dxfId="1435">
      <formula>0</formula>
    </cfRule>
    <cfRule type="expression" priority="413" aboveAverage="0" equalAverage="0" bottom="0" percent="0" rank="0" text="" dxfId="1436">
      <formula>G29&gt;0</formula>
    </cfRule>
  </conditionalFormatting>
  <conditionalFormatting sqref="G31">
    <cfRule type="cellIs" priority="414" operator="equal" aboveAverage="0" equalAverage="0" bottom="0" percent="0" rank="0" text="" dxfId="1437">
      <formula>"В"</formula>
    </cfRule>
  </conditionalFormatting>
  <conditionalFormatting sqref="G31">
    <cfRule type="cellIs" priority="415" operator="greaterThan" aboveAverage="0" equalAverage="0" bottom="0" percent="0" rank="0" text="" dxfId="1438">
      <formula>0</formula>
    </cfRule>
    <cfRule type="expression" priority="416" aboveAverage="0" equalAverage="0" bottom="0" percent="0" rank="0" text="" dxfId="1439">
      <formula>G30&gt;0</formula>
    </cfRule>
  </conditionalFormatting>
  <conditionalFormatting sqref="G32">
    <cfRule type="cellIs" priority="417" operator="equal" aboveAverage="0" equalAverage="0" bottom="0" percent="0" rank="0" text="" dxfId="1440">
      <formula>"В"</formula>
    </cfRule>
  </conditionalFormatting>
  <conditionalFormatting sqref="G32">
    <cfRule type="cellIs" priority="418" operator="greaterThan" aboveAverage="0" equalAverage="0" bottom="0" percent="0" rank="0" text="" dxfId="1441">
      <formula>0</formula>
    </cfRule>
    <cfRule type="expression" priority="419" aboveAverage="0" equalAverage="0" bottom="0" percent="0" rank="0" text="" dxfId="1442">
      <formula>G31&gt;0</formula>
    </cfRule>
  </conditionalFormatting>
  <conditionalFormatting sqref="G33">
    <cfRule type="cellIs" priority="420" operator="equal" aboveAverage="0" equalAverage="0" bottom="0" percent="0" rank="0" text="" dxfId="1443">
      <formula>"В"</formula>
    </cfRule>
  </conditionalFormatting>
  <conditionalFormatting sqref="G33">
    <cfRule type="cellIs" priority="421" operator="greaterThan" aboveAverage="0" equalAverage="0" bottom="0" percent="0" rank="0" text="" dxfId="1444">
      <formula>0</formula>
    </cfRule>
    <cfRule type="expression" priority="422" aboveAverage="0" equalAverage="0" bottom="0" percent="0" rank="0" text="" dxfId="1445">
      <formula>G32&gt;0</formula>
    </cfRule>
  </conditionalFormatting>
  <conditionalFormatting sqref="G34">
    <cfRule type="cellIs" priority="423" operator="equal" aboveAverage="0" equalAverage="0" bottom="0" percent="0" rank="0" text="" dxfId="1446">
      <formula>"В"</formula>
    </cfRule>
  </conditionalFormatting>
  <conditionalFormatting sqref="G34">
    <cfRule type="cellIs" priority="424" operator="greaterThan" aboveAverage="0" equalAverage="0" bottom="0" percent="0" rank="0" text="" dxfId="1447">
      <formula>0</formula>
    </cfRule>
    <cfRule type="expression" priority="425" aboveAverage="0" equalAverage="0" bottom="0" percent="0" rank="0" text="" dxfId="1448">
      <formula>G33&gt;0</formula>
    </cfRule>
  </conditionalFormatting>
  <conditionalFormatting sqref="G35">
    <cfRule type="cellIs" priority="426" operator="equal" aboveAverage="0" equalAverage="0" bottom="0" percent="0" rank="0" text="" dxfId="1449">
      <formula>"В"</formula>
    </cfRule>
  </conditionalFormatting>
  <conditionalFormatting sqref="G35">
    <cfRule type="cellIs" priority="427" operator="greaterThan" aboveAverage="0" equalAverage="0" bottom="0" percent="0" rank="0" text="" dxfId="1450">
      <formula>0</formula>
    </cfRule>
    <cfRule type="expression" priority="428" aboveAverage="0" equalAverage="0" bottom="0" percent="0" rank="0" text="" dxfId="1451">
      <formula>G34&gt;0</formula>
    </cfRule>
  </conditionalFormatting>
  <conditionalFormatting sqref="G36">
    <cfRule type="cellIs" priority="429" operator="equal" aboveAverage="0" equalAverage="0" bottom="0" percent="0" rank="0" text="" dxfId="1452">
      <formula>"В"</formula>
    </cfRule>
  </conditionalFormatting>
  <conditionalFormatting sqref="G36">
    <cfRule type="cellIs" priority="430" operator="greaterThan" aboveAverage="0" equalAverage="0" bottom="0" percent="0" rank="0" text="" dxfId="1453">
      <formula>0</formula>
    </cfRule>
    <cfRule type="expression" priority="431" aboveAverage="0" equalAverage="0" bottom="0" percent="0" rank="0" text="" dxfId="1454">
      <formula>G35&gt;0</formula>
    </cfRule>
  </conditionalFormatting>
  <conditionalFormatting sqref="G37">
    <cfRule type="cellIs" priority="432" operator="equal" aboveAverage="0" equalAverage="0" bottom="0" percent="0" rank="0" text="" dxfId="1455">
      <formula>"В"</formula>
    </cfRule>
  </conditionalFormatting>
  <conditionalFormatting sqref="G37">
    <cfRule type="cellIs" priority="433" operator="greaterThan" aboveAverage="0" equalAverage="0" bottom="0" percent="0" rank="0" text="" dxfId="1456">
      <formula>0</formula>
    </cfRule>
    <cfRule type="expression" priority="434" aboveAverage="0" equalAverage="0" bottom="0" percent="0" rank="0" text="" dxfId="1457">
      <formula>G36&gt;0</formula>
    </cfRule>
  </conditionalFormatting>
  <conditionalFormatting sqref="G38">
    <cfRule type="cellIs" priority="435" operator="equal" aboveAverage="0" equalAverage="0" bottom="0" percent="0" rank="0" text="" dxfId="1458">
      <formula>"В"</formula>
    </cfRule>
  </conditionalFormatting>
  <conditionalFormatting sqref="G38">
    <cfRule type="cellIs" priority="436" operator="greaterThan" aboveAverage="0" equalAverage="0" bottom="0" percent="0" rank="0" text="" dxfId="1459">
      <formula>0</formula>
    </cfRule>
    <cfRule type="expression" priority="437" aboveAverage="0" equalAverage="0" bottom="0" percent="0" rank="0" text="" dxfId="1460">
      <formula>G37&gt;0</formula>
    </cfRule>
  </conditionalFormatting>
  <conditionalFormatting sqref="G39">
    <cfRule type="cellIs" priority="438" operator="equal" aboveAverage="0" equalAverage="0" bottom="0" percent="0" rank="0" text="" dxfId="1461">
      <formula>"В"</formula>
    </cfRule>
  </conditionalFormatting>
  <conditionalFormatting sqref="G39">
    <cfRule type="cellIs" priority="439" operator="greaterThan" aboveAverage="0" equalAverage="0" bottom="0" percent="0" rank="0" text="" dxfId="1462">
      <formula>0</formula>
    </cfRule>
    <cfRule type="expression" priority="440" aboveAverage="0" equalAverage="0" bottom="0" percent="0" rank="0" text="" dxfId="1463">
      <formula>G38&gt;0</formula>
    </cfRule>
  </conditionalFormatting>
  <conditionalFormatting sqref="G40">
    <cfRule type="cellIs" priority="441" operator="equal" aboveAverage="0" equalAverage="0" bottom="0" percent="0" rank="0" text="" dxfId="1464">
      <formula>"В"</formula>
    </cfRule>
  </conditionalFormatting>
  <conditionalFormatting sqref="G40">
    <cfRule type="cellIs" priority="442" operator="greaterThan" aboveAverage="0" equalAverage="0" bottom="0" percent="0" rank="0" text="" dxfId="1465">
      <formula>0</formula>
    </cfRule>
    <cfRule type="expression" priority="443" aboveAverage="0" equalAverage="0" bottom="0" percent="0" rank="0" text="" dxfId="1466">
      <formula>G39&gt;0</formula>
    </cfRule>
  </conditionalFormatting>
  <conditionalFormatting sqref="G41">
    <cfRule type="cellIs" priority="444" operator="equal" aboveAverage="0" equalAverage="0" bottom="0" percent="0" rank="0" text="" dxfId="1467">
      <formula>"В"</formula>
    </cfRule>
  </conditionalFormatting>
  <conditionalFormatting sqref="G41">
    <cfRule type="cellIs" priority="445" operator="greaterThan" aboveAverage="0" equalAverage="0" bottom="0" percent="0" rank="0" text="" dxfId="1468">
      <formula>0</formula>
    </cfRule>
    <cfRule type="expression" priority="446" aboveAverage="0" equalAverage="0" bottom="0" percent="0" rank="0" text="" dxfId="1469">
      <formula>G40&gt;0</formula>
    </cfRule>
  </conditionalFormatting>
  <conditionalFormatting sqref="G42">
    <cfRule type="cellIs" priority="447" operator="equal" aboveAverage="0" equalAverage="0" bottom="0" percent="0" rank="0" text="" dxfId="1470">
      <formula>"В"</formula>
    </cfRule>
  </conditionalFormatting>
  <conditionalFormatting sqref="G42">
    <cfRule type="cellIs" priority="448" operator="greaterThan" aboveAverage="0" equalAverage="0" bottom="0" percent="0" rank="0" text="" dxfId="1471">
      <formula>0</formula>
    </cfRule>
    <cfRule type="expression" priority="449" aboveAverage="0" equalAverage="0" bottom="0" percent="0" rank="0" text="" dxfId="1472">
      <formula>G41&gt;0</formula>
    </cfRule>
  </conditionalFormatting>
  <conditionalFormatting sqref="G43">
    <cfRule type="cellIs" priority="450" operator="equal" aboveAverage="0" equalAverage="0" bottom="0" percent="0" rank="0" text="" dxfId="1473">
      <formula>"В"</formula>
    </cfRule>
  </conditionalFormatting>
  <conditionalFormatting sqref="G43">
    <cfRule type="cellIs" priority="451" operator="greaterThan" aboveAverage="0" equalAverage="0" bottom="0" percent="0" rank="0" text="" dxfId="1474">
      <formula>0</formula>
    </cfRule>
    <cfRule type="expression" priority="452" aboveAverage="0" equalAverage="0" bottom="0" percent="0" rank="0" text="" dxfId="1475">
      <formula>G42&gt;0</formula>
    </cfRule>
  </conditionalFormatting>
  <conditionalFormatting sqref="G44">
    <cfRule type="cellIs" priority="453" operator="equal" aboveAverage="0" equalAverage="0" bottom="0" percent="0" rank="0" text="" dxfId="1476">
      <formula>"В"</formula>
    </cfRule>
  </conditionalFormatting>
  <conditionalFormatting sqref="G44">
    <cfRule type="cellIs" priority="454" operator="greaterThan" aboveAverage="0" equalAverage="0" bottom="0" percent="0" rank="0" text="" dxfId="1477">
      <formula>0</formula>
    </cfRule>
    <cfRule type="expression" priority="455" aboveAverage="0" equalAverage="0" bottom="0" percent="0" rank="0" text="" dxfId="1478">
      <formula>G43&gt;0</formula>
    </cfRule>
  </conditionalFormatting>
  <conditionalFormatting sqref="G45">
    <cfRule type="cellIs" priority="456" operator="equal" aboveAverage="0" equalAverage="0" bottom="0" percent="0" rank="0" text="" dxfId="1479">
      <formula>"В"</formula>
    </cfRule>
  </conditionalFormatting>
  <conditionalFormatting sqref="G45">
    <cfRule type="cellIs" priority="457" operator="greaterThan" aboveAverage="0" equalAverage="0" bottom="0" percent="0" rank="0" text="" dxfId="1480">
      <formula>0</formula>
    </cfRule>
    <cfRule type="expression" priority="458" aboveAverage="0" equalAverage="0" bottom="0" percent="0" rank="0" text="" dxfId="1481">
      <formula>G44&gt;0</formula>
    </cfRule>
  </conditionalFormatting>
  <conditionalFormatting sqref="G46">
    <cfRule type="cellIs" priority="459" operator="equal" aboveAverage="0" equalAverage="0" bottom="0" percent="0" rank="0" text="" dxfId="1482">
      <formula>"В"</formula>
    </cfRule>
  </conditionalFormatting>
  <conditionalFormatting sqref="G46">
    <cfRule type="cellIs" priority="460" operator="greaterThan" aboveAverage="0" equalAverage="0" bottom="0" percent="0" rank="0" text="" dxfId="1483">
      <formula>0</formula>
    </cfRule>
    <cfRule type="expression" priority="461" aboveAverage="0" equalAverage="0" bottom="0" percent="0" rank="0" text="" dxfId="1484">
      <formula>G45&gt;0</formula>
    </cfRule>
  </conditionalFormatting>
  <conditionalFormatting sqref="G47">
    <cfRule type="cellIs" priority="462" operator="equal" aboveAverage="0" equalAverage="0" bottom="0" percent="0" rank="0" text="" dxfId="1485">
      <formula>"В"</formula>
    </cfRule>
  </conditionalFormatting>
  <conditionalFormatting sqref="G47">
    <cfRule type="cellIs" priority="463" operator="greaterThan" aboveAverage="0" equalAverage="0" bottom="0" percent="0" rank="0" text="" dxfId="1486">
      <formula>0</formula>
    </cfRule>
    <cfRule type="expression" priority="464" aboveAverage="0" equalAverage="0" bottom="0" percent="0" rank="0" text="" dxfId="1487">
      <formula>G46&gt;0</formula>
    </cfRule>
  </conditionalFormatting>
  <conditionalFormatting sqref="G48">
    <cfRule type="cellIs" priority="465" operator="equal" aboveAverage="0" equalAverage="0" bottom="0" percent="0" rank="0" text="" dxfId="1488">
      <formula>"В"</formula>
    </cfRule>
  </conditionalFormatting>
  <conditionalFormatting sqref="G48">
    <cfRule type="cellIs" priority="466" operator="greaterThan" aboveAverage="0" equalAverage="0" bottom="0" percent="0" rank="0" text="" dxfId="1489">
      <formula>0</formula>
    </cfRule>
    <cfRule type="expression" priority="467" aboveAverage="0" equalAverage="0" bottom="0" percent="0" rank="0" text="" dxfId="1490">
      <formula>G47&gt;0</formula>
    </cfRule>
  </conditionalFormatting>
  <conditionalFormatting sqref="G49">
    <cfRule type="cellIs" priority="468" operator="equal" aboveAverage="0" equalAverage="0" bottom="0" percent="0" rank="0" text="" dxfId="1491">
      <formula>"В"</formula>
    </cfRule>
  </conditionalFormatting>
  <conditionalFormatting sqref="G49">
    <cfRule type="cellIs" priority="469" operator="greaterThan" aboveAverage="0" equalAverage="0" bottom="0" percent="0" rank="0" text="" dxfId="1492">
      <formula>0</formula>
    </cfRule>
    <cfRule type="expression" priority="470" aboveAverage="0" equalAverage="0" bottom="0" percent="0" rank="0" text="" dxfId="1493">
      <formula>G48&gt;0</formula>
    </cfRule>
  </conditionalFormatting>
  <conditionalFormatting sqref="H22">
    <cfRule type="cellIs" priority="471" operator="equal" aboveAverage="0" equalAverage="0" bottom="0" percent="0" rank="0" text="" dxfId="1494">
      <formula>"В"</formula>
    </cfRule>
  </conditionalFormatting>
  <conditionalFormatting sqref="H22">
    <cfRule type="cellIs" priority="472" operator="greaterThan" aboveAverage="0" equalAverage="0" bottom="0" percent="0" rank="0" text="" dxfId="1495">
      <formula>0</formula>
    </cfRule>
    <cfRule type="expression" priority="473" aboveAverage="0" equalAverage="0" bottom="0" percent="0" rank="0" text="" dxfId="1496">
      <formula>H21&gt;0</formula>
    </cfRule>
  </conditionalFormatting>
  <conditionalFormatting sqref="H23">
    <cfRule type="cellIs" priority="474" operator="equal" aboveAverage="0" equalAverage="0" bottom="0" percent="0" rank="0" text="" dxfId="1497">
      <formula>"В"</formula>
    </cfRule>
  </conditionalFormatting>
  <conditionalFormatting sqref="H23">
    <cfRule type="cellIs" priority="475" operator="greaterThan" aboveAverage="0" equalAverage="0" bottom="0" percent="0" rank="0" text="" dxfId="1498">
      <formula>0</formula>
    </cfRule>
    <cfRule type="expression" priority="476" aboveAverage="0" equalAverage="0" bottom="0" percent="0" rank="0" text="" dxfId="1499">
      <formula>H22&gt;0</formula>
    </cfRule>
  </conditionalFormatting>
  <conditionalFormatting sqref="H24">
    <cfRule type="cellIs" priority="477" operator="equal" aboveAverage="0" equalAverage="0" bottom="0" percent="0" rank="0" text="" dxfId="1500">
      <formula>"В"</formula>
    </cfRule>
  </conditionalFormatting>
  <conditionalFormatting sqref="H24">
    <cfRule type="cellIs" priority="478" operator="greaterThan" aboveAverage="0" equalAverage="0" bottom="0" percent="0" rank="0" text="" dxfId="1501">
      <formula>0</formula>
    </cfRule>
    <cfRule type="expression" priority="479" aboveAverage="0" equalAverage="0" bottom="0" percent="0" rank="0" text="" dxfId="1502">
      <formula>H23&gt;0</formula>
    </cfRule>
  </conditionalFormatting>
  <conditionalFormatting sqref="H25">
    <cfRule type="cellIs" priority="480" operator="equal" aboveAverage="0" equalAverage="0" bottom="0" percent="0" rank="0" text="" dxfId="1503">
      <formula>"В"</formula>
    </cfRule>
  </conditionalFormatting>
  <conditionalFormatting sqref="H25">
    <cfRule type="cellIs" priority="481" operator="greaterThan" aboveAverage="0" equalAverage="0" bottom="0" percent="0" rank="0" text="" dxfId="1504">
      <formula>0</formula>
    </cfRule>
    <cfRule type="expression" priority="482" aboveAverage="0" equalAverage="0" bottom="0" percent="0" rank="0" text="" dxfId="1505">
      <formula>H24&gt;0</formula>
    </cfRule>
  </conditionalFormatting>
  <conditionalFormatting sqref="H26">
    <cfRule type="cellIs" priority="483" operator="equal" aboveAverage="0" equalAverage="0" bottom="0" percent="0" rank="0" text="" dxfId="1506">
      <formula>"В"</formula>
    </cfRule>
  </conditionalFormatting>
  <conditionalFormatting sqref="H26">
    <cfRule type="cellIs" priority="484" operator="greaterThan" aboveAverage="0" equalAverage="0" bottom="0" percent="0" rank="0" text="" dxfId="1507">
      <formula>0</formula>
    </cfRule>
    <cfRule type="expression" priority="485" aboveAverage="0" equalAverage="0" bottom="0" percent="0" rank="0" text="" dxfId="1508">
      <formula>H25&gt;0</formula>
    </cfRule>
  </conditionalFormatting>
  <conditionalFormatting sqref="H27">
    <cfRule type="cellIs" priority="486" operator="equal" aboveAverage="0" equalAverage="0" bottom="0" percent="0" rank="0" text="" dxfId="1509">
      <formula>"В"</formula>
    </cfRule>
  </conditionalFormatting>
  <conditionalFormatting sqref="H27">
    <cfRule type="cellIs" priority="487" operator="greaterThan" aboveAverage="0" equalAverage="0" bottom="0" percent="0" rank="0" text="" dxfId="1510">
      <formula>0</formula>
    </cfRule>
    <cfRule type="expression" priority="488" aboveAverage="0" equalAverage="0" bottom="0" percent="0" rank="0" text="" dxfId="1511">
      <formula>H26&gt;0</formula>
    </cfRule>
  </conditionalFormatting>
  <conditionalFormatting sqref="H28">
    <cfRule type="cellIs" priority="489" operator="equal" aboveAverage="0" equalAverage="0" bottom="0" percent="0" rank="0" text="" dxfId="1512">
      <formula>"В"</formula>
    </cfRule>
  </conditionalFormatting>
  <conditionalFormatting sqref="H28">
    <cfRule type="cellIs" priority="490" operator="greaterThan" aboveAverage="0" equalAverage="0" bottom="0" percent="0" rank="0" text="" dxfId="1513">
      <formula>0</formula>
    </cfRule>
    <cfRule type="expression" priority="491" aboveAverage="0" equalAverage="0" bottom="0" percent="0" rank="0" text="" dxfId="1514">
      <formula>H27&gt;0</formula>
    </cfRule>
  </conditionalFormatting>
  <conditionalFormatting sqref="H29">
    <cfRule type="cellIs" priority="492" operator="equal" aboveAverage="0" equalAverage="0" bottom="0" percent="0" rank="0" text="" dxfId="1515">
      <formula>"В"</formula>
    </cfRule>
  </conditionalFormatting>
  <conditionalFormatting sqref="H29">
    <cfRule type="cellIs" priority="493" operator="greaterThan" aboveAverage="0" equalAverage="0" bottom="0" percent="0" rank="0" text="" dxfId="1516">
      <formula>0</formula>
    </cfRule>
    <cfRule type="expression" priority="494" aboveAverage="0" equalAverage="0" bottom="0" percent="0" rank="0" text="" dxfId="1517">
      <formula>H28&gt;0</formula>
    </cfRule>
  </conditionalFormatting>
  <conditionalFormatting sqref="H30">
    <cfRule type="cellIs" priority="495" operator="equal" aboveAverage="0" equalAverage="0" bottom="0" percent="0" rank="0" text="" dxfId="1518">
      <formula>"В"</formula>
    </cfRule>
  </conditionalFormatting>
  <conditionalFormatting sqref="H30">
    <cfRule type="cellIs" priority="496" operator="greaterThan" aboveAverage="0" equalAverage="0" bottom="0" percent="0" rank="0" text="" dxfId="1519">
      <formula>0</formula>
    </cfRule>
    <cfRule type="expression" priority="497" aboveAverage="0" equalAverage="0" bottom="0" percent="0" rank="0" text="" dxfId="1520">
      <formula>H29&gt;0</formula>
    </cfRule>
  </conditionalFormatting>
  <conditionalFormatting sqref="H31">
    <cfRule type="cellIs" priority="498" operator="equal" aboveAverage="0" equalAverage="0" bottom="0" percent="0" rank="0" text="" dxfId="1521">
      <formula>"В"</formula>
    </cfRule>
  </conditionalFormatting>
  <conditionalFormatting sqref="H31">
    <cfRule type="cellIs" priority="499" operator="greaterThan" aboveAverage="0" equalAverage="0" bottom="0" percent="0" rank="0" text="" dxfId="1522">
      <formula>0</formula>
    </cfRule>
    <cfRule type="expression" priority="500" aboveAverage="0" equalAverage="0" bottom="0" percent="0" rank="0" text="" dxfId="1523">
      <formula>H30&gt;0</formula>
    </cfRule>
  </conditionalFormatting>
  <conditionalFormatting sqref="H32">
    <cfRule type="cellIs" priority="501" operator="equal" aboveAverage="0" equalAverage="0" bottom="0" percent="0" rank="0" text="" dxfId="1524">
      <formula>"В"</formula>
    </cfRule>
  </conditionalFormatting>
  <conditionalFormatting sqref="H32">
    <cfRule type="cellIs" priority="502" operator="greaterThan" aboveAverage="0" equalAverage="0" bottom="0" percent="0" rank="0" text="" dxfId="1525">
      <formula>0</formula>
    </cfRule>
    <cfRule type="expression" priority="503" aboveAverage="0" equalAverage="0" bottom="0" percent="0" rank="0" text="" dxfId="1526">
      <formula>H31&gt;0</formula>
    </cfRule>
  </conditionalFormatting>
  <conditionalFormatting sqref="H33">
    <cfRule type="cellIs" priority="504" operator="equal" aboveAverage="0" equalAverage="0" bottom="0" percent="0" rank="0" text="" dxfId="1527">
      <formula>"В"</formula>
    </cfRule>
  </conditionalFormatting>
  <conditionalFormatting sqref="H33">
    <cfRule type="cellIs" priority="505" operator="greaterThan" aboveAverage="0" equalAverage="0" bottom="0" percent="0" rank="0" text="" dxfId="1528">
      <formula>0</formula>
    </cfRule>
    <cfRule type="expression" priority="506" aboveAverage="0" equalAverage="0" bottom="0" percent="0" rank="0" text="" dxfId="1529">
      <formula>H32&gt;0</formula>
    </cfRule>
  </conditionalFormatting>
  <conditionalFormatting sqref="H34">
    <cfRule type="cellIs" priority="507" operator="equal" aboveAverage="0" equalAverage="0" bottom="0" percent="0" rank="0" text="" dxfId="1530">
      <formula>"В"</formula>
    </cfRule>
  </conditionalFormatting>
  <conditionalFormatting sqref="H34">
    <cfRule type="cellIs" priority="508" operator="greaterThan" aboveAverage="0" equalAverage="0" bottom="0" percent="0" rank="0" text="" dxfId="1531">
      <formula>0</formula>
    </cfRule>
    <cfRule type="expression" priority="509" aboveAverage="0" equalAverage="0" bottom="0" percent="0" rank="0" text="" dxfId="1532">
      <formula>H33&gt;0</formula>
    </cfRule>
  </conditionalFormatting>
  <conditionalFormatting sqref="H35">
    <cfRule type="cellIs" priority="510" operator="equal" aboveAverage="0" equalAverage="0" bottom="0" percent="0" rank="0" text="" dxfId="1533">
      <formula>"В"</formula>
    </cfRule>
  </conditionalFormatting>
  <conditionalFormatting sqref="H35">
    <cfRule type="cellIs" priority="511" operator="greaterThan" aboveAverage="0" equalAverage="0" bottom="0" percent="0" rank="0" text="" dxfId="1534">
      <formula>0</formula>
    </cfRule>
    <cfRule type="expression" priority="512" aboveAverage="0" equalAverage="0" bottom="0" percent="0" rank="0" text="" dxfId="1535">
      <formula>H34&gt;0</formula>
    </cfRule>
  </conditionalFormatting>
  <conditionalFormatting sqref="H36">
    <cfRule type="cellIs" priority="513" operator="equal" aboveAverage="0" equalAverage="0" bottom="0" percent="0" rank="0" text="" dxfId="1536">
      <formula>"В"</formula>
    </cfRule>
  </conditionalFormatting>
  <conditionalFormatting sqref="H36">
    <cfRule type="cellIs" priority="514" operator="greaterThan" aboveAverage="0" equalAverage="0" bottom="0" percent="0" rank="0" text="" dxfId="1537">
      <formula>0</formula>
    </cfRule>
    <cfRule type="expression" priority="515" aboveAverage="0" equalAverage="0" bottom="0" percent="0" rank="0" text="" dxfId="1538">
      <formula>H35&gt;0</formula>
    </cfRule>
  </conditionalFormatting>
  <conditionalFormatting sqref="H37">
    <cfRule type="cellIs" priority="516" operator="equal" aboveAverage="0" equalAverage="0" bottom="0" percent="0" rank="0" text="" dxfId="1539">
      <formula>"В"</formula>
    </cfRule>
  </conditionalFormatting>
  <conditionalFormatting sqref="H37">
    <cfRule type="cellIs" priority="517" operator="greaterThan" aboveAverage="0" equalAverage="0" bottom="0" percent="0" rank="0" text="" dxfId="1540">
      <formula>0</formula>
    </cfRule>
    <cfRule type="expression" priority="518" aboveAverage="0" equalAverage="0" bottom="0" percent="0" rank="0" text="" dxfId="1541">
      <formula>H36&gt;0</formula>
    </cfRule>
  </conditionalFormatting>
  <conditionalFormatting sqref="H38">
    <cfRule type="cellIs" priority="519" operator="equal" aboveAverage="0" equalAverage="0" bottom="0" percent="0" rank="0" text="" dxfId="1542">
      <formula>"В"</formula>
    </cfRule>
  </conditionalFormatting>
  <conditionalFormatting sqref="H38">
    <cfRule type="cellIs" priority="520" operator="greaterThan" aboveAverage="0" equalAverage="0" bottom="0" percent="0" rank="0" text="" dxfId="1543">
      <formula>0</formula>
    </cfRule>
    <cfRule type="expression" priority="521" aboveAverage="0" equalAverage="0" bottom="0" percent="0" rank="0" text="" dxfId="1544">
      <formula>H37&gt;0</formula>
    </cfRule>
  </conditionalFormatting>
  <conditionalFormatting sqref="H39">
    <cfRule type="cellIs" priority="522" operator="equal" aboveAverage="0" equalAverage="0" bottom="0" percent="0" rank="0" text="" dxfId="1545">
      <formula>"В"</formula>
    </cfRule>
  </conditionalFormatting>
  <conditionalFormatting sqref="H39">
    <cfRule type="cellIs" priority="523" operator="greaterThan" aboveAverage="0" equalAverage="0" bottom="0" percent="0" rank="0" text="" dxfId="1546">
      <formula>0</formula>
    </cfRule>
    <cfRule type="expression" priority="524" aboveAverage="0" equalAverage="0" bottom="0" percent="0" rank="0" text="" dxfId="1547">
      <formula>H38&gt;0</formula>
    </cfRule>
  </conditionalFormatting>
  <conditionalFormatting sqref="H40">
    <cfRule type="cellIs" priority="525" operator="equal" aboveAverage="0" equalAverage="0" bottom="0" percent="0" rank="0" text="" dxfId="1548">
      <formula>"В"</formula>
    </cfRule>
  </conditionalFormatting>
  <conditionalFormatting sqref="H40">
    <cfRule type="cellIs" priority="526" operator="greaterThan" aboveAverage="0" equalAverage="0" bottom="0" percent="0" rank="0" text="" dxfId="1549">
      <formula>0</formula>
    </cfRule>
    <cfRule type="expression" priority="527" aboveAverage="0" equalAverage="0" bottom="0" percent="0" rank="0" text="" dxfId="1550">
      <formula>H39&gt;0</formula>
    </cfRule>
  </conditionalFormatting>
  <conditionalFormatting sqref="H41">
    <cfRule type="cellIs" priority="528" operator="equal" aboveAverage="0" equalAverage="0" bottom="0" percent="0" rank="0" text="" dxfId="1551">
      <formula>"В"</formula>
    </cfRule>
  </conditionalFormatting>
  <conditionalFormatting sqref="H41">
    <cfRule type="cellIs" priority="529" operator="greaterThan" aboveAverage="0" equalAverage="0" bottom="0" percent="0" rank="0" text="" dxfId="1552">
      <formula>0</formula>
    </cfRule>
    <cfRule type="expression" priority="530" aboveAverage="0" equalAverage="0" bottom="0" percent="0" rank="0" text="" dxfId="1553">
      <formula>H40&gt;0</formula>
    </cfRule>
  </conditionalFormatting>
  <conditionalFormatting sqref="H42">
    <cfRule type="cellIs" priority="531" operator="equal" aboveAverage="0" equalAverage="0" bottom="0" percent="0" rank="0" text="" dxfId="1554">
      <formula>"В"</formula>
    </cfRule>
  </conditionalFormatting>
  <conditionalFormatting sqref="H42">
    <cfRule type="cellIs" priority="532" operator="greaterThan" aboveAverage="0" equalAverage="0" bottom="0" percent="0" rank="0" text="" dxfId="1555">
      <formula>0</formula>
    </cfRule>
    <cfRule type="expression" priority="533" aboveAverage="0" equalAverage="0" bottom="0" percent="0" rank="0" text="" dxfId="1556">
      <formula>H41&gt;0</formula>
    </cfRule>
  </conditionalFormatting>
  <conditionalFormatting sqref="H43">
    <cfRule type="cellIs" priority="534" operator="equal" aboveAverage="0" equalAverage="0" bottom="0" percent="0" rank="0" text="" dxfId="1557">
      <formula>"В"</formula>
    </cfRule>
  </conditionalFormatting>
  <conditionalFormatting sqref="H43">
    <cfRule type="cellIs" priority="535" operator="greaterThan" aboveAverage="0" equalAverage="0" bottom="0" percent="0" rank="0" text="" dxfId="1558">
      <formula>0</formula>
    </cfRule>
    <cfRule type="expression" priority="536" aboveAverage="0" equalAverage="0" bottom="0" percent="0" rank="0" text="" dxfId="1559">
      <formula>H42&gt;0</formula>
    </cfRule>
  </conditionalFormatting>
  <conditionalFormatting sqref="H44">
    <cfRule type="cellIs" priority="537" operator="equal" aboveAverage="0" equalAverage="0" bottom="0" percent="0" rank="0" text="" dxfId="1560">
      <formula>"В"</formula>
    </cfRule>
  </conditionalFormatting>
  <conditionalFormatting sqref="H44">
    <cfRule type="cellIs" priority="538" operator="greaterThan" aboveAverage="0" equalAverage="0" bottom="0" percent="0" rank="0" text="" dxfId="1561">
      <formula>0</formula>
    </cfRule>
    <cfRule type="expression" priority="539" aboveAverage="0" equalAverage="0" bottom="0" percent="0" rank="0" text="" dxfId="1562">
      <formula>H43&gt;0</formula>
    </cfRule>
  </conditionalFormatting>
  <conditionalFormatting sqref="H45">
    <cfRule type="cellIs" priority="540" operator="equal" aboveAverage="0" equalAverage="0" bottom="0" percent="0" rank="0" text="" dxfId="1563">
      <formula>"В"</formula>
    </cfRule>
  </conditionalFormatting>
  <conditionalFormatting sqref="H45">
    <cfRule type="cellIs" priority="541" operator="greaterThan" aboveAverage="0" equalAverage="0" bottom="0" percent="0" rank="0" text="" dxfId="1564">
      <formula>0</formula>
    </cfRule>
    <cfRule type="expression" priority="542" aboveAverage="0" equalAverage="0" bottom="0" percent="0" rank="0" text="" dxfId="1565">
      <formula>H44&gt;0</formula>
    </cfRule>
  </conditionalFormatting>
  <conditionalFormatting sqref="H46">
    <cfRule type="cellIs" priority="543" operator="equal" aboveAverage="0" equalAverage="0" bottom="0" percent="0" rank="0" text="" dxfId="1566">
      <formula>"В"</formula>
    </cfRule>
  </conditionalFormatting>
  <conditionalFormatting sqref="H46">
    <cfRule type="cellIs" priority="544" operator="greaterThan" aboveAverage="0" equalAverage="0" bottom="0" percent="0" rank="0" text="" dxfId="1567">
      <formula>0</formula>
    </cfRule>
    <cfRule type="expression" priority="545" aboveAverage="0" equalAverage="0" bottom="0" percent="0" rank="0" text="" dxfId="1568">
      <formula>H45&gt;0</formula>
    </cfRule>
  </conditionalFormatting>
  <conditionalFormatting sqref="H47">
    <cfRule type="cellIs" priority="546" operator="equal" aboveAverage="0" equalAverage="0" bottom="0" percent="0" rank="0" text="" dxfId="1569">
      <formula>"В"</formula>
    </cfRule>
  </conditionalFormatting>
  <conditionalFormatting sqref="H47">
    <cfRule type="cellIs" priority="547" operator="greaterThan" aboveAverage="0" equalAverage="0" bottom="0" percent="0" rank="0" text="" dxfId="1570">
      <formula>0</formula>
    </cfRule>
    <cfRule type="expression" priority="548" aboveAverage="0" equalAverage="0" bottom="0" percent="0" rank="0" text="" dxfId="1571">
      <formula>H46&gt;0</formula>
    </cfRule>
  </conditionalFormatting>
  <conditionalFormatting sqref="H48">
    <cfRule type="cellIs" priority="549" operator="equal" aboveAverage="0" equalAverage="0" bottom="0" percent="0" rank="0" text="" dxfId="1572">
      <formula>"В"</formula>
    </cfRule>
  </conditionalFormatting>
  <conditionalFormatting sqref="H48">
    <cfRule type="cellIs" priority="550" operator="greaterThan" aboveAverage="0" equalAverage="0" bottom="0" percent="0" rank="0" text="" dxfId="1573">
      <formula>0</formula>
    </cfRule>
    <cfRule type="expression" priority="551" aboveAverage="0" equalAverage="0" bottom="0" percent="0" rank="0" text="" dxfId="1574">
      <formula>H47&gt;0</formula>
    </cfRule>
  </conditionalFormatting>
  <conditionalFormatting sqref="H49">
    <cfRule type="cellIs" priority="552" operator="equal" aboveAverage="0" equalAverage="0" bottom="0" percent="0" rank="0" text="" dxfId="1575">
      <formula>"В"</formula>
    </cfRule>
  </conditionalFormatting>
  <conditionalFormatting sqref="H49">
    <cfRule type="cellIs" priority="553" operator="greaterThan" aboveAverage="0" equalAverage="0" bottom="0" percent="0" rank="0" text="" dxfId="1576">
      <formula>0</formula>
    </cfRule>
    <cfRule type="expression" priority="554" aboveAverage="0" equalAverage="0" bottom="0" percent="0" rank="0" text="" dxfId="1577">
      <formula>H48&gt;0</formula>
    </cfRule>
  </conditionalFormatting>
  <conditionalFormatting sqref="I22">
    <cfRule type="cellIs" priority="555" operator="equal" aboveAverage="0" equalAverage="0" bottom="0" percent="0" rank="0" text="" dxfId="1578">
      <formula>"В"</formula>
    </cfRule>
  </conditionalFormatting>
  <conditionalFormatting sqref="I22">
    <cfRule type="cellIs" priority="556" operator="greaterThan" aboveAverage="0" equalAverage="0" bottom="0" percent="0" rank="0" text="" dxfId="1579">
      <formula>0</formula>
    </cfRule>
    <cfRule type="expression" priority="557" aboveAverage="0" equalAverage="0" bottom="0" percent="0" rank="0" text="" dxfId="1580">
      <formula>I21&gt;0</formula>
    </cfRule>
  </conditionalFormatting>
  <conditionalFormatting sqref="I23">
    <cfRule type="cellIs" priority="558" operator="equal" aboveAverage="0" equalAverage="0" bottom="0" percent="0" rank="0" text="" dxfId="1581">
      <formula>"В"</formula>
    </cfRule>
  </conditionalFormatting>
  <conditionalFormatting sqref="I23">
    <cfRule type="cellIs" priority="559" operator="greaterThan" aboveAverage="0" equalAverage="0" bottom="0" percent="0" rank="0" text="" dxfId="1582">
      <formula>0</formula>
    </cfRule>
    <cfRule type="expression" priority="560" aboveAverage="0" equalAverage="0" bottom="0" percent="0" rank="0" text="" dxfId="1583">
      <formula>I22&gt;0</formula>
    </cfRule>
  </conditionalFormatting>
  <conditionalFormatting sqref="I24">
    <cfRule type="cellIs" priority="561" operator="equal" aboveAverage="0" equalAverage="0" bottom="0" percent="0" rank="0" text="" dxfId="1584">
      <formula>"В"</formula>
    </cfRule>
  </conditionalFormatting>
  <conditionalFormatting sqref="I24">
    <cfRule type="cellIs" priority="562" operator="greaterThan" aboveAverage="0" equalAverage="0" bottom="0" percent="0" rank="0" text="" dxfId="1585">
      <formula>0</formula>
    </cfRule>
    <cfRule type="expression" priority="563" aboveAverage="0" equalAverage="0" bottom="0" percent="0" rank="0" text="" dxfId="1586">
      <formula>I23&gt;0</formula>
    </cfRule>
  </conditionalFormatting>
  <conditionalFormatting sqref="I25">
    <cfRule type="cellIs" priority="564" operator="equal" aboveAverage="0" equalAverage="0" bottom="0" percent="0" rank="0" text="" dxfId="1587">
      <formula>"В"</formula>
    </cfRule>
  </conditionalFormatting>
  <conditionalFormatting sqref="I25">
    <cfRule type="cellIs" priority="565" operator="greaterThan" aboveAverage="0" equalAverage="0" bottom="0" percent="0" rank="0" text="" dxfId="1588">
      <formula>0</formula>
    </cfRule>
    <cfRule type="expression" priority="566" aboveAverage="0" equalAverage="0" bottom="0" percent="0" rank="0" text="" dxfId="1589">
      <formula>I24&gt;0</formula>
    </cfRule>
  </conditionalFormatting>
  <conditionalFormatting sqref="I26">
    <cfRule type="cellIs" priority="567" operator="equal" aboveAverage="0" equalAverage="0" bottom="0" percent="0" rank="0" text="" dxfId="1590">
      <formula>"В"</formula>
    </cfRule>
  </conditionalFormatting>
  <conditionalFormatting sqref="I26">
    <cfRule type="cellIs" priority="568" operator="greaterThan" aboveAverage="0" equalAverage="0" bottom="0" percent="0" rank="0" text="" dxfId="1591">
      <formula>0</formula>
    </cfRule>
    <cfRule type="expression" priority="569" aboveAverage="0" equalAverage="0" bottom="0" percent="0" rank="0" text="" dxfId="1592">
      <formula>I25&gt;0</formula>
    </cfRule>
  </conditionalFormatting>
  <conditionalFormatting sqref="I27">
    <cfRule type="cellIs" priority="570" operator="equal" aboveAverage="0" equalAverage="0" bottom="0" percent="0" rank="0" text="" dxfId="1593">
      <formula>"В"</formula>
    </cfRule>
  </conditionalFormatting>
  <conditionalFormatting sqref="I27">
    <cfRule type="cellIs" priority="571" operator="greaterThan" aboveAverage="0" equalAverage="0" bottom="0" percent="0" rank="0" text="" dxfId="1594">
      <formula>0</formula>
    </cfRule>
    <cfRule type="expression" priority="572" aboveAverage="0" equalAverage="0" bottom="0" percent="0" rank="0" text="" dxfId="1595">
      <formula>I26&gt;0</formula>
    </cfRule>
  </conditionalFormatting>
  <conditionalFormatting sqref="I28">
    <cfRule type="cellIs" priority="573" operator="equal" aboveAverage="0" equalAverage="0" bottom="0" percent="0" rank="0" text="" dxfId="1596">
      <formula>"В"</formula>
    </cfRule>
  </conditionalFormatting>
  <conditionalFormatting sqref="I28">
    <cfRule type="cellIs" priority="574" operator="greaterThan" aboveAverage="0" equalAverage="0" bottom="0" percent="0" rank="0" text="" dxfId="1597">
      <formula>0</formula>
    </cfRule>
    <cfRule type="expression" priority="575" aboveAverage="0" equalAverage="0" bottom="0" percent="0" rank="0" text="" dxfId="1598">
      <formula>I27&gt;0</formula>
    </cfRule>
  </conditionalFormatting>
  <conditionalFormatting sqref="I29">
    <cfRule type="cellIs" priority="576" operator="equal" aboveAverage="0" equalAverage="0" bottom="0" percent="0" rank="0" text="" dxfId="1599">
      <formula>"В"</formula>
    </cfRule>
  </conditionalFormatting>
  <conditionalFormatting sqref="I29">
    <cfRule type="cellIs" priority="577" operator="greaterThan" aboveAverage="0" equalAverage="0" bottom="0" percent="0" rank="0" text="" dxfId="1600">
      <formula>0</formula>
    </cfRule>
    <cfRule type="expression" priority="578" aboveAverage="0" equalAverage="0" bottom="0" percent="0" rank="0" text="" dxfId="1601">
      <formula>I28&gt;0</formula>
    </cfRule>
  </conditionalFormatting>
  <conditionalFormatting sqref="I30">
    <cfRule type="cellIs" priority="579" operator="equal" aboveAverage="0" equalAverage="0" bottom="0" percent="0" rank="0" text="" dxfId="1602">
      <formula>"В"</formula>
    </cfRule>
  </conditionalFormatting>
  <conditionalFormatting sqref="I30">
    <cfRule type="cellIs" priority="580" operator="greaterThan" aboveAverage="0" equalAverage="0" bottom="0" percent="0" rank="0" text="" dxfId="1603">
      <formula>0</formula>
    </cfRule>
    <cfRule type="expression" priority="581" aboveAverage="0" equalAverage="0" bottom="0" percent="0" rank="0" text="" dxfId="1604">
      <formula>I29&gt;0</formula>
    </cfRule>
  </conditionalFormatting>
  <conditionalFormatting sqref="I31">
    <cfRule type="cellIs" priority="582" operator="equal" aboveAverage="0" equalAverage="0" bottom="0" percent="0" rank="0" text="" dxfId="1605">
      <formula>"В"</formula>
    </cfRule>
  </conditionalFormatting>
  <conditionalFormatting sqref="I31">
    <cfRule type="cellIs" priority="583" operator="greaterThan" aboveAverage="0" equalAverage="0" bottom="0" percent="0" rank="0" text="" dxfId="1606">
      <formula>0</formula>
    </cfRule>
    <cfRule type="expression" priority="584" aboveAverage="0" equalAverage="0" bottom="0" percent="0" rank="0" text="" dxfId="1607">
      <formula>I30&gt;0</formula>
    </cfRule>
  </conditionalFormatting>
  <conditionalFormatting sqref="I32">
    <cfRule type="cellIs" priority="585" operator="equal" aboveAverage="0" equalAverage="0" bottom="0" percent="0" rank="0" text="" dxfId="1608">
      <formula>"В"</formula>
    </cfRule>
  </conditionalFormatting>
  <conditionalFormatting sqref="I32">
    <cfRule type="cellIs" priority="586" operator="greaterThan" aboveAverage="0" equalAverage="0" bottom="0" percent="0" rank="0" text="" dxfId="1609">
      <formula>0</formula>
    </cfRule>
    <cfRule type="expression" priority="587" aboveAverage="0" equalAverage="0" bottom="0" percent="0" rank="0" text="" dxfId="1610">
      <formula>I31&gt;0</formula>
    </cfRule>
  </conditionalFormatting>
  <conditionalFormatting sqref="I33">
    <cfRule type="cellIs" priority="588" operator="equal" aboveAverage="0" equalAverage="0" bottom="0" percent="0" rank="0" text="" dxfId="1611">
      <formula>"В"</formula>
    </cfRule>
  </conditionalFormatting>
  <conditionalFormatting sqref="I33">
    <cfRule type="cellIs" priority="589" operator="greaterThan" aboveAverage="0" equalAverage="0" bottom="0" percent="0" rank="0" text="" dxfId="1612">
      <formula>0</formula>
    </cfRule>
    <cfRule type="expression" priority="590" aboveAverage="0" equalAverage="0" bottom="0" percent="0" rank="0" text="" dxfId="1613">
      <formula>I32&gt;0</formula>
    </cfRule>
  </conditionalFormatting>
  <conditionalFormatting sqref="I34">
    <cfRule type="cellIs" priority="591" operator="equal" aboveAverage="0" equalAverage="0" bottom="0" percent="0" rank="0" text="" dxfId="1614">
      <formula>"В"</formula>
    </cfRule>
  </conditionalFormatting>
  <conditionalFormatting sqref="I34">
    <cfRule type="cellIs" priority="592" operator="greaterThan" aboveAverage="0" equalAverage="0" bottom="0" percent="0" rank="0" text="" dxfId="1615">
      <formula>0</formula>
    </cfRule>
    <cfRule type="expression" priority="593" aboveAverage="0" equalAverage="0" bottom="0" percent="0" rank="0" text="" dxfId="1616">
      <formula>I33&gt;0</formula>
    </cfRule>
  </conditionalFormatting>
  <conditionalFormatting sqref="I35">
    <cfRule type="cellIs" priority="594" operator="equal" aboveAverage="0" equalAverage="0" bottom="0" percent="0" rank="0" text="" dxfId="1617">
      <formula>"В"</formula>
    </cfRule>
  </conditionalFormatting>
  <conditionalFormatting sqref="I35">
    <cfRule type="cellIs" priority="595" operator="greaterThan" aboveAverage="0" equalAverage="0" bottom="0" percent="0" rank="0" text="" dxfId="1618">
      <formula>0</formula>
    </cfRule>
    <cfRule type="expression" priority="596" aboveAverage="0" equalAverage="0" bottom="0" percent="0" rank="0" text="" dxfId="1619">
      <formula>I34&gt;0</formula>
    </cfRule>
  </conditionalFormatting>
  <conditionalFormatting sqref="I36">
    <cfRule type="cellIs" priority="597" operator="equal" aboveAverage="0" equalAverage="0" bottom="0" percent="0" rank="0" text="" dxfId="1620">
      <formula>"В"</formula>
    </cfRule>
  </conditionalFormatting>
  <conditionalFormatting sqref="I36">
    <cfRule type="cellIs" priority="598" operator="greaterThan" aboveAverage="0" equalAverage="0" bottom="0" percent="0" rank="0" text="" dxfId="1621">
      <formula>0</formula>
    </cfRule>
    <cfRule type="expression" priority="599" aboveAverage="0" equalAverage="0" bottom="0" percent="0" rank="0" text="" dxfId="1622">
      <formula>I35&gt;0</formula>
    </cfRule>
  </conditionalFormatting>
  <conditionalFormatting sqref="I37">
    <cfRule type="cellIs" priority="600" operator="equal" aboveAverage="0" equalAverage="0" bottom="0" percent="0" rank="0" text="" dxfId="1623">
      <formula>"В"</formula>
    </cfRule>
  </conditionalFormatting>
  <conditionalFormatting sqref="I37">
    <cfRule type="cellIs" priority="601" operator="greaterThan" aboveAverage="0" equalAverage="0" bottom="0" percent="0" rank="0" text="" dxfId="1624">
      <formula>0</formula>
    </cfRule>
    <cfRule type="expression" priority="602" aboveAverage="0" equalAverage="0" bottom="0" percent="0" rank="0" text="" dxfId="1625">
      <formula>I36&gt;0</formula>
    </cfRule>
  </conditionalFormatting>
  <conditionalFormatting sqref="I38">
    <cfRule type="cellIs" priority="603" operator="equal" aboveAverage="0" equalAverage="0" bottom="0" percent="0" rank="0" text="" dxfId="1626">
      <formula>"В"</formula>
    </cfRule>
  </conditionalFormatting>
  <conditionalFormatting sqref="I38">
    <cfRule type="cellIs" priority="604" operator="greaterThan" aboveAverage="0" equalAverage="0" bottom="0" percent="0" rank="0" text="" dxfId="1627">
      <formula>0</formula>
    </cfRule>
    <cfRule type="expression" priority="605" aboveAverage="0" equalAverage="0" bottom="0" percent="0" rank="0" text="" dxfId="1628">
      <formula>I37&gt;0</formula>
    </cfRule>
  </conditionalFormatting>
  <conditionalFormatting sqref="I39">
    <cfRule type="cellIs" priority="606" operator="equal" aboveAverage="0" equalAverage="0" bottom="0" percent="0" rank="0" text="" dxfId="1629">
      <formula>"В"</formula>
    </cfRule>
  </conditionalFormatting>
  <conditionalFormatting sqref="I39">
    <cfRule type="cellIs" priority="607" operator="greaterThan" aboveAverage="0" equalAverage="0" bottom="0" percent="0" rank="0" text="" dxfId="1630">
      <formula>0</formula>
    </cfRule>
    <cfRule type="expression" priority="608" aboveAverage="0" equalAverage="0" bottom="0" percent="0" rank="0" text="" dxfId="1631">
      <formula>I38&gt;0</formula>
    </cfRule>
  </conditionalFormatting>
  <conditionalFormatting sqref="I40">
    <cfRule type="cellIs" priority="609" operator="equal" aboveAverage="0" equalAverage="0" bottom="0" percent="0" rank="0" text="" dxfId="1632">
      <formula>"В"</formula>
    </cfRule>
  </conditionalFormatting>
  <conditionalFormatting sqref="I40">
    <cfRule type="cellIs" priority="610" operator="greaterThan" aboveAverage="0" equalAverage="0" bottom="0" percent="0" rank="0" text="" dxfId="1633">
      <formula>0</formula>
    </cfRule>
    <cfRule type="expression" priority="611" aboveAverage="0" equalAverage="0" bottom="0" percent="0" rank="0" text="" dxfId="1634">
      <formula>I39&gt;0</formula>
    </cfRule>
  </conditionalFormatting>
  <conditionalFormatting sqref="I41">
    <cfRule type="cellIs" priority="612" operator="equal" aboveAverage="0" equalAverage="0" bottom="0" percent="0" rank="0" text="" dxfId="1635">
      <formula>"В"</formula>
    </cfRule>
  </conditionalFormatting>
  <conditionalFormatting sqref="I41">
    <cfRule type="cellIs" priority="613" operator="greaterThan" aboveAverage="0" equalAverage="0" bottom="0" percent="0" rank="0" text="" dxfId="1636">
      <formula>0</formula>
    </cfRule>
    <cfRule type="expression" priority="614" aboveAverage="0" equalAverage="0" bottom="0" percent="0" rank="0" text="" dxfId="1637">
      <formula>I40&gt;0</formula>
    </cfRule>
  </conditionalFormatting>
  <conditionalFormatting sqref="I42">
    <cfRule type="cellIs" priority="615" operator="equal" aboveAverage="0" equalAverage="0" bottom="0" percent="0" rank="0" text="" dxfId="1638">
      <formula>"В"</formula>
    </cfRule>
  </conditionalFormatting>
  <conditionalFormatting sqref="I42">
    <cfRule type="cellIs" priority="616" operator="greaterThan" aboveAverage="0" equalAverage="0" bottom="0" percent="0" rank="0" text="" dxfId="1639">
      <formula>0</formula>
    </cfRule>
    <cfRule type="expression" priority="617" aboveAverage="0" equalAverage="0" bottom="0" percent="0" rank="0" text="" dxfId="1640">
      <formula>I41&gt;0</formula>
    </cfRule>
  </conditionalFormatting>
  <conditionalFormatting sqref="I43">
    <cfRule type="cellIs" priority="618" operator="equal" aboveAverage="0" equalAverage="0" bottom="0" percent="0" rank="0" text="" dxfId="1641">
      <formula>"В"</formula>
    </cfRule>
  </conditionalFormatting>
  <conditionalFormatting sqref="I43">
    <cfRule type="cellIs" priority="619" operator="greaterThan" aboveAverage="0" equalAverage="0" bottom="0" percent="0" rank="0" text="" dxfId="1642">
      <formula>0</formula>
    </cfRule>
    <cfRule type="expression" priority="620" aboveAverage="0" equalAverage="0" bottom="0" percent="0" rank="0" text="" dxfId="1643">
      <formula>I42&gt;0</formula>
    </cfRule>
  </conditionalFormatting>
  <conditionalFormatting sqref="I44">
    <cfRule type="cellIs" priority="621" operator="equal" aboveAverage="0" equalAverage="0" bottom="0" percent="0" rank="0" text="" dxfId="1644">
      <formula>"В"</formula>
    </cfRule>
  </conditionalFormatting>
  <conditionalFormatting sqref="I44">
    <cfRule type="cellIs" priority="622" operator="greaterThan" aboveAverage="0" equalAverage="0" bottom="0" percent="0" rank="0" text="" dxfId="1645">
      <formula>0</formula>
    </cfRule>
    <cfRule type="expression" priority="623" aboveAverage="0" equalAverage="0" bottom="0" percent="0" rank="0" text="" dxfId="1646">
      <formula>I43&gt;0</formula>
    </cfRule>
  </conditionalFormatting>
  <conditionalFormatting sqref="I45">
    <cfRule type="cellIs" priority="624" operator="equal" aboveAverage="0" equalAverage="0" bottom="0" percent="0" rank="0" text="" dxfId="1647">
      <formula>"В"</formula>
    </cfRule>
  </conditionalFormatting>
  <conditionalFormatting sqref="I45">
    <cfRule type="cellIs" priority="625" operator="greaterThan" aboveAverage="0" equalAverage="0" bottom="0" percent="0" rank="0" text="" dxfId="1648">
      <formula>0</formula>
    </cfRule>
    <cfRule type="expression" priority="626" aboveAverage="0" equalAverage="0" bottom="0" percent="0" rank="0" text="" dxfId="1649">
      <formula>I44&gt;0</formula>
    </cfRule>
  </conditionalFormatting>
  <conditionalFormatting sqref="I46">
    <cfRule type="cellIs" priority="627" operator="equal" aboveAverage="0" equalAverage="0" bottom="0" percent="0" rank="0" text="" dxfId="1650">
      <formula>"В"</formula>
    </cfRule>
  </conditionalFormatting>
  <conditionalFormatting sqref="I46">
    <cfRule type="cellIs" priority="628" operator="greaterThan" aboveAverage="0" equalAverage="0" bottom="0" percent="0" rank="0" text="" dxfId="1651">
      <formula>0</formula>
    </cfRule>
    <cfRule type="expression" priority="629" aboveAverage="0" equalAverage="0" bottom="0" percent="0" rank="0" text="" dxfId="1652">
      <formula>I45&gt;0</formula>
    </cfRule>
  </conditionalFormatting>
  <conditionalFormatting sqref="I47">
    <cfRule type="cellIs" priority="630" operator="equal" aboveAverage="0" equalAverage="0" bottom="0" percent="0" rank="0" text="" dxfId="1653">
      <formula>"В"</formula>
    </cfRule>
  </conditionalFormatting>
  <conditionalFormatting sqref="I47">
    <cfRule type="cellIs" priority="631" operator="greaterThan" aboveAverage="0" equalAverage="0" bottom="0" percent="0" rank="0" text="" dxfId="1654">
      <formula>0</formula>
    </cfRule>
    <cfRule type="expression" priority="632" aboveAverage="0" equalAverage="0" bottom="0" percent="0" rank="0" text="" dxfId="1655">
      <formula>I46&gt;0</formula>
    </cfRule>
  </conditionalFormatting>
  <conditionalFormatting sqref="I48">
    <cfRule type="cellIs" priority="633" operator="equal" aboveAverage="0" equalAverage="0" bottom="0" percent="0" rank="0" text="" dxfId="1656">
      <formula>"В"</formula>
    </cfRule>
  </conditionalFormatting>
  <conditionalFormatting sqref="I48">
    <cfRule type="cellIs" priority="634" operator="greaterThan" aboveAverage="0" equalAverage="0" bottom="0" percent="0" rank="0" text="" dxfId="1657">
      <formula>0</formula>
    </cfRule>
    <cfRule type="expression" priority="635" aboveAverage="0" equalAverage="0" bottom="0" percent="0" rank="0" text="" dxfId="1658">
      <formula>I47&gt;0</formula>
    </cfRule>
  </conditionalFormatting>
  <conditionalFormatting sqref="I49">
    <cfRule type="cellIs" priority="636" operator="equal" aboveAverage="0" equalAverage="0" bottom="0" percent="0" rank="0" text="" dxfId="1659">
      <formula>"В"</formula>
    </cfRule>
  </conditionalFormatting>
  <conditionalFormatting sqref="I49">
    <cfRule type="cellIs" priority="637" operator="greaterThan" aboveAverage="0" equalAverage="0" bottom="0" percent="0" rank="0" text="" dxfId="1660">
      <formula>0</formula>
    </cfRule>
    <cfRule type="expression" priority="638" aboveAverage="0" equalAverage="0" bottom="0" percent="0" rank="0" text="" dxfId="1661">
      <formula>I48&gt;0</formula>
    </cfRule>
  </conditionalFormatting>
  <conditionalFormatting sqref="J22">
    <cfRule type="cellIs" priority="639" operator="equal" aboveAverage="0" equalAverage="0" bottom="0" percent="0" rank="0" text="" dxfId="1662">
      <formula>"В"</formula>
    </cfRule>
  </conditionalFormatting>
  <conditionalFormatting sqref="J22">
    <cfRule type="cellIs" priority="640" operator="greaterThan" aboveAverage="0" equalAverage="0" bottom="0" percent="0" rank="0" text="" dxfId="1663">
      <formula>0</formula>
    </cfRule>
    <cfRule type="expression" priority="641" aboveAverage="0" equalAverage="0" bottom="0" percent="0" rank="0" text="" dxfId="1664">
      <formula>J21&gt;0</formula>
    </cfRule>
  </conditionalFormatting>
  <conditionalFormatting sqref="J23">
    <cfRule type="cellIs" priority="642" operator="equal" aboveAverage="0" equalAverage="0" bottom="0" percent="0" rank="0" text="" dxfId="1665">
      <formula>"В"</formula>
    </cfRule>
  </conditionalFormatting>
  <conditionalFormatting sqref="J23">
    <cfRule type="cellIs" priority="643" operator="greaterThan" aboveAverage="0" equalAverage="0" bottom="0" percent="0" rank="0" text="" dxfId="1666">
      <formula>0</formula>
    </cfRule>
    <cfRule type="expression" priority="644" aboveAverage="0" equalAverage="0" bottom="0" percent="0" rank="0" text="" dxfId="1667">
      <formula>J22&gt;0</formula>
    </cfRule>
  </conditionalFormatting>
  <conditionalFormatting sqref="J24">
    <cfRule type="cellIs" priority="645" operator="equal" aboveAverage="0" equalAverage="0" bottom="0" percent="0" rank="0" text="" dxfId="1668">
      <formula>"В"</formula>
    </cfRule>
  </conditionalFormatting>
  <conditionalFormatting sqref="J24">
    <cfRule type="cellIs" priority="646" operator="greaterThan" aboveAverage="0" equalAverage="0" bottom="0" percent="0" rank="0" text="" dxfId="1669">
      <formula>0</formula>
    </cfRule>
    <cfRule type="expression" priority="647" aboveAverage="0" equalAverage="0" bottom="0" percent="0" rank="0" text="" dxfId="1670">
      <formula>J23&gt;0</formula>
    </cfRule>
  </conditionalFormatting>
  <conditionalFormatting sqref="J25">
    <cfRule type="cellIs" priority="648" operator="equal" aboveAverage="0" equalAverage="0" bottom="0" percent="0" rank="0" text="" dxfId="1671">
      <formula>"В"</formula>
    </cfRule>
  </conditionalFormatting>
  <conditionalFormatting sqref="J25">
    <cfRule type="cellIs" priority="649" operator="greaterThan" aboveAverage="0" equalAverage="0" bottom="0" percent="0" rank="0" text="" dxfId="1672">
      <formula>0</formula>
    </cfRule>
    <cfRule type="expression" priority="650" aboveAverage="0" equalAverage="0" bottom="0" percent="0" rank="0" text="" dxfId="1673">
      <formula>J24&gt;0</formula>
    </cfRule>
  </conditionalFormatting>
  <conditionalFormatting sqref="J26">
    <cfRule type="cellIs" priority="651" operator="equal" aboveAverage="0" equalAverage="0" bottom="0" percent="0" rank="0" text="" dxfId="1674">
      <formula>"В"</formula>
    </cfRule>
  </conditionalFormatting>
  <conditionalFormatting sqref="J26">
    <cfRule type="cellIs" priority="652" operator="greaterThan" aboveAverage="0" equalAverage="0" bottom="0" percent="0" rank="0" text="" dxfId="1675">
      <formula>0</formula>
    </cfRule>
    <cfRule type="expression" priority="653" aboveAverage="0" equalAverage="0" bottom="0" percent="0" rank="0" text="" dxfId="1676">
      <formula>J25&gt;0</formula>
    </cfRule>
  </conditionalFormatting>
  <conditionalFormatting sqref="J27">
    <cfRule type="cellIs" priority="654" operator="equal" aboveAverage="0" equalAverage="0" bottom="0" percent="0" rank="0" text="" dxfId="1677">
      <formula>"В"</formula>
    </cfRule>
  </conditionalFormatting>
  <conditionalFormatting sqref="J27">
    <cfRule type="cellIs" priority="655" operator="greaterThan" aboveAverage="0" equalAverage="0" bottom="0" percent="0" rank="0" text="" dxfId="1678">
      <formula>0</formula>
    </cfRule>
    <cfRule type="expression" priority="656" aboveAverage="0" equalAverage="0" bottom="0" percent="0" rank="0" text="" dxfId="1679">
      <formula>J26&gt;0</formula>
    </cfRule>
  </conditionalFormatting>
  <conditionalFormatting sqref="J28">
    <cfRule type="cellIs" priority="657" operator="equal" aboveAverage="0" equalAverage="0" bottom="0" percent="0" rank="0" text="" dxfId="1680">
      <formula>"В"</formula>
    </cfRule>
  </conditionalFormatting>
  <conditionalFormatting sqref="J28">
    <cfRule type="cellIs" priority="658" operator="greaterThan" aboveAverage="0" equalAverage="0" bottom="0" percent="0" rank="0" text="" dxfId="1681">
      <formula>0</formula>
    </cfRule>
    <cfRule type="expression" priority="659" aboveAverage="0" equalAverage="0" bottom="0" percent="0" rank="0" text="" dxfId="1682">
      <formula>J27&gt;0</formula>
    </cfRule>
  </conditionalFormatting>
  <conditionalFormatting sqref="J29">
    <cfRule type="cellIs" priority="660" operator="equal" aboveAverage="0" equalAverage="0" bottom="0" percent="0" rank="0" text="" dxfId="1683">
      <formula>"В"</formula>
    </cfRule>
  </conditionalFormatting>
  <conditionalFormatting sqref="J29">
    <cfRule type="cellIs" priority="661" operator="greaterThan" aboveAverage="0" equalAverage="0" bottom="0" percent="0" rank="0" text="" dxfId="1684">
      <formula>0</formula>
    </cfRule>
    <cfRule type="expression" priority="662" aboveAverage="0" equalAverage="0" bottom="0" percent="0" rank="0" text="" dxfId="1685">
      <formula>J28&gt;0</formula>
    </cfRule>
  </conditionalFormatting>
  <conditionalFormatting sqref="J30">
    <cfRule type="cellIs" priority="663" operator="equal" aboveAverage="0" equalAverage="0" bottom="0" percent="0" rank="0" text="" dxfId="1686">
      <formula>"В"</formula>
    </cfRule>
  </conditionalFormatting>
  <conditionalFormatting sqref="J30">
    <cfRule type="cellIs" priority="664" operator="greaterThan" aboveAverage="0" equalAverage="0" bottom="0" percent="0" rank="0" text="" dxfId="1687">
      <formula>0</formula>
    </cfRule>
    <cfRule type="expression" priority="665" aboveAverage="0" equalAverage="0" bottom="0" percent="0" rank="0" text="" dxfId="1688">
      <formula>J29&gt;0</formula>
    </cfRule>
  </conditionalFormatting>
  <conditionalFormatting sqref="J31">
    <cfRule type="cellIs" priority="666" operator="equal" aboveAverage="0" equalAverage="0" bottom="0" percent="0" rank="0" text="" dxfId="1689">
      <formula>"В"</formula>
    </cfRule>
  </conditionalFormatting>
  <conditionalFormatting sqref="J31">
    <cfRule type="cellIs" priority="667" operator="greaterThan" aboveAverage="0" equalAverage="0" bottom="0" percent="0" rank="0" text="" dxfId="1690">
      <formula>0</formula>
    </cfRule>
    <cfRule type="expression" priority="668" aboveAverage="0" equalAverage="0" bottom="0" percent="0" rank="0" text="" dxfId="1691">
      <formula>J30&gt;0</formula>
    </cfRule>
  </conditionalFormatting>
  <conditionalFormatting sqref="J32">
    <cfRule type="cellIs" priority="669" operator="equal" aboveAverage="0" equalAverage="0" bottom="0" percent="0" rank="0" text="" dxfId="1692">
      <formula>"В"</formula>
    </cfRule>
  </conditionalFormatting>
  <conditionalFormatting sqref="J32">
    <cfRule type="cellIs" priority="670" operator="greaterThan" aboveAverage="0" equalAverage="0" bottom="0" percent="0" rank="0" text="" dxfId="1693">
      <formula>0</formula>
    </cfRule>
    <cfRule type="expression" priority="671" aboveAverage="0" equalAverage="0" bottom="0" percent="0" rank="0" text="" dxfId="1694">
      <formula>J31&gt;0</formula>
    </cfRule>
  </conditionalFormatting>
  <conditionalFormatting sqref="J33">
    <cfRule type="cellIs" priority="672" operator="equal" aboveAverage="0" equalAverage="0" bottom="0" percent="0" rank="0" text="" dxfId="1695">
      <formula>"В"</formula>
    </cfRule>
  </conditionalFormatting>
  <conditionalFormatting sqref="J33">
    <cfRule type="cellIs" priority="673" operator="greaterThan" aboveAverage="0" equalAverage="0" bottom="0" percent="0" rank="0" text="" dxfId="1696">
      <formula>0</formula>
    </cfRule>
    <cfRule type="expression" priority="674" aboveAverage="0" equalAverage="0" bottom="0" percent="0" rank="0" text="" dxfId="1697">
      <formula>J32&gt;0</formula>
    </cfRule>
  </conditionalFormatting>
  <conditionalFormatting sqref="J34">
    <cfRule type="cellIs" priority="675" operator="equal" aboveAverage="0" equalAverage="0" bottom="0" percent="0" rank="0" text="" dxfId="1698">
      <formula>"В"</formula>
    </cfRule>
  </conditionalFormatting>
  <conditionalFormatting sqref="J34">
    <cfRule type="cellIs" priority="676" operator="greaterThan" aboveAverage="0" equalAverage="0" bottom="0" percent="0" rank="0" text="" dxfId="1699">
      <formula>0</formula>
    </cfRule>
    <cfRule type="expression" priority="677" aboveAverage="0" equalAverage="0" bottom="0" percent="0" rank="0" text="" dxfId="1700">
      <formula>J33&gt;0</formula>
    </cfRule>
  </conditionalFormatting>
  <conditionalFormatting sqref="J35">
    <cfRule type="cellIs" priority="678" operator="equal" aboveAverage="0" equalAverage="0" bottom="0" percent="0" rank="0" text="" dxfId="1701">
      <formula>"В"</formula>
    </cfRule>
  </conditionalFormatting>
  <conditionalFormatting sqref="J35">
    <cfRule type="cellIs" priority="679" operator="greaterThan" aboveAverage="0" equalAverage="0" bottom="0" percent="0" rank="0" text="" dxfId="1702">
      <formula>0</formula>
    </cfRule>
    <cfRule type="expression" priority="680" aboveAverage="0" equalAverage="0" bottom="0" percent="0" rank="0" text="" dxfId="1703">
      <formula>J34&gt;0</formula>
    </cfRule>
  </conditionalFormatting>
  <conditionalFormatting sqref="J36">
    <cfRule type="cellIs" priority="681" operator="equal" aboveAverage="0" equalAverage="0" bottom="0" percent="0" rank="0" text="" dxfId="1704">
      <formula>"В"</formula>
    </cfRule>
  </conditionalFormatting>
  <conditionalFormatting sqref="J36">
    <cfRule type="cellIs" priority="682" operator="greaterThan" aboveAverage="0" equalAverage="0" bottom="0" percent="0" rank="0" text="" dxfId="1705">
      <formula>0</formula>
    </cfRule>
    <cfRule type="expression" priority="683" aboveAverage="0" equalAverage="0" bottom="0" percent="0" rank="0" text="" dxfId="1706">
      <formula>J35&gt;0</formula>
    </cfRule>
  </conditionalFormatting>
  <conditionalFormatting sqref="J37">
    <cfRule type="cellIs" priority="684" operator="equal" aboveAverage="0" equalAverage="0" bottom="0" percent="0" rank="0" text="" dxfId="1707">
      <formula>"В"</formula>
    </cfRule>
  </conditionalFormatting>
  <conditionalFormatting sqref="J37">
    <cfRule type="cellIs" priority="685" operator="greaterThan" aboveAverage="0" equalAverage="0" bottom="0" percent="0" rank="0" text="" dxfId="1708">
      <formula>0</formula>
    </cfRule>
    <cfRule type="expression" priority="686" aboveAverage="0" equalAverage="0" bottom="0" percent="0" rank="0" text="" dxfId="1709">
      <formula>J36&gt;0</formula>
    </cfRule>
  </conditionalFormatting>
  <conditionalFormatting sqref="J38">
    <cfRule type="cellIs" priority="687" operator="equal" aboveAverage="0" equalAverage="0" bottom="0" percent="0" rank="0" text="" dxfId="1710">
      <formula>"В"</formula>
    </cfRule>
  </conditionalFormatting>
  <conditionalFormatting sqref="J38">
    <cfRule type="cellIs" priority="688" operator="greaterThan" aboveAverage="0" equalAverage="0" bottom="0" percent="0" rank="0" text="" dxfId="1711">
      <formula>0</formula>
    </cfRule>
    <cfRule type="expression" priority="689" aboveAverage="0" equalAverage="0" bottom="0" percent="0" rank="0" text="" dxfId="1712">
      <formula>J37&gt;0</formula>
    </cfRule>
  </conditionalFormatting>
  <conditionalFormatting sqref="J39">
    <cfRule type="cellIs" priority="690" operator="equal" aboveAverage="0" equalAverage="0" bottom="0" percent="0" rank="0" text="" dxfId="1713">
      <formula>"В"</formula>
    </cfRule>
  </conditionalFormatting>
  <conditionalFormatting sqref="J39">
    <cfRule type="cellIs" priority="691" operator="greaterThan" aboveAverage="0" equalAverage="0" bottom="0" percent="0" rank="0" text="" dxfId="1714">
      <formula>0</formula>
    </cfRule>
    <cfRule type="expression" priority="692" aboveAverage="0" equalAverage="0" bottom="0" percent="0" rank="0" text="" dxfId="1715">
      <formula>J38&gt;0</formula>
    </cfRule>
  </conditionalFormatting>
  <conditionalFormatting sqref="J40">
    <cfRule type="cellIs" priority="693" operator="equal" aboveAverage="0" equalAverage="0" bottom="0" percent="0" rank="0" text="" dxfId="1716">
      <formula>"В"</formula>
    </cfRule>
  </conditionalFormatting>
  <conditionalFormatting sqref="J40">
    <cfRule type="cellIs" priority="694" operator="greaterThan" aboveAverage="0" equalAverage="0" bottom="0" percent="0" rank="0" text="" dxfId="1717">
      <formula>0</formula>
    </cfRule>
    <cfRule type="expression" priority="695" aboveAverage="0" equalAverage="0" bottom="0" percent="0" rank="0" text="" dxfId="1718">
      <formula>J39&gt;0</formula>
    </cfRule>
  </conditionalFormatting>
  <conditionalFormatting sqref="J41">
    <cfRule type="cellIs" priority="696" operator="equal" aboveAverage="0" equalAverage="0" bottom="0" percent="0" rank="0" text="" dxfId="1719">
      <formula>"В"</formula>
    </cfRule>
  </conditionalFormatting>
  <conditionalFormatting sqref="J41">
    <cfRule type="cellIs" priority="697" operator="greaterThan" aboveAverage="0" equalAverage="0" bottom="0" percent="0" rank="0" text="" dxfId="1720">
      <formula>0</formula>
    </cfRule>
    <cfRule type="expression" priority="698" aboveAverage="0" equalAverage="0" bottom="0" percent="0" rank="0" text="" dxfId="1721">
      <formula>J40&gt;0</formula>
    </cfRule>
  </conditionalFormatting>
  <conditionalFormatting sqref="J42">
    <cfRule type="cellIs" priority="699" operator="equal" aboveAverage="0" equalAverage="0" bottom="0" percent="0" rank="0" text="" dxfId="1722">
      <formula>"В"</formula>
    </cfRule>
  </conditionalFormatting>
  <conditionalFormatting sqref="J42">
    <cfRule type="cellIs" priority="700" operator="greaterThan" aboveAverage="0" equalAverage="0" bottom="0" percent="0" rank="0" text="" dxfId="1723">
      <formula>0</formula>
    </cfRule>
    <cfRule type="expression" priority="701" aboveAverage="0" equalAverage="0" bottom="0" percent="0" rank="0" text="" dxfId="1724">
      <formula>J41&gt;0</formula>
    </cfRule>
  </conditionalFormatting>
  <conditionalFormatting sqref="J43">
    <cfRule type="cellIs" priority="702" operator="equal" aboveAverage="0" equalAverage="0" bottom="0" percent="0" rank="0" text="" dxfId="1725">
      <formula>"В"</formula>
    </cfRule>
  </conditionalFormatting>
  <conditionalFormatting sqref="J43">
    <cfRule type="cellIs" priority="703" operator="greaterThan" aboveAverage="0" equalAverage="0" bottom="0" percent="0" rank="0" text="" dxfId="1726">
      <formula>0</formula>
    </cfRule>
    <cfRule type="expression" priority="704" aboveAverage="0" equalAverage="0" bottom="0" percent="0" rank="0" text="" dxfId="1727">
      <formula>J42&gt;0</formula>
    </cfRule>
  </conditionalFormatting>
  <conditionalFormatting sqref="J44">
    <cfRule type="cellIs" priority="705" operator="equal" aboveAverage="0" equalAverage="0" bottom="0" percent="0" rank="0" text="" dxfId="1728">
      <formula>"В"</formula>
    </cfRule>
  </conditionalFormatting>
  <conditionalFormatting sqref="J44">
    <cfRule type="cellIs" priority="706" operator="greaterThan" aboveAverage="0" equalAverage="0" bottom="0" percent="0" rank="0" text="" dxfId="1729">
      <formula>0</formula>
    </cfRule>
    <cfRule type="expression" priority="707" aboveAverage="0" equalAverage="0" bottom="0" percent="0" rank="0" text="" dxfId="1730">
      <formula>J43&gt;0</formula>
    </cfRule>
  </conditionalFormatting>
  <conditionalFormatting sqref="J45">
    <cfRule type="cellIs" priority="708" operator="equal" aboveAverage="0" equalAverage="0" bottom="0" percent="0" rank="0" text="" dxfId="1731">
      <formula>"В"</formula>
    </cfRule>
  </conditionalFormatting>
  <conditionalFormatting sqref="J45">
    <cfRule type="cellIs" priority="709" operator="greaterThan" aboveAverage="0" equalAverage="0" bottom="0" percent="0" rank="0" text="" dxfId="1732">
      <formula>0</formula>
    </cfRule>
    <cfRule type="expression" priority="710" aboveAverage="0" equalAverage="0" bottom="0" percent="0" rank="0" text="" dxfId="1733">
      <formula>J44&gt;0</formula>
    </cfRule>
  </conditionalFormatting>
  <conditionalFormatting sqref="J46">
    <cfRule type="cellIs" priority="711" operator="equal" aboveAverage="0" equalAverage="0" bottom="0" percent="0" rank="0" text="" dxfId="1734">
      <formula>"В"</formula>
    </cfRule>
  </conditionalFormatting>
  <conditionalFormatting sqref="J46">
    <cfRule type="cellIs" priority="712" operator="greaterThan" aboveAverage="0" equalAverage="0" bottom="0" percent="0" rank="0" text="" dxfId="1735">
      <formula>0</formula>
    </cfRule>
    <cfRule type="expression" priority="713" aboveAverage="0" equalAverage="0" bottom="0" percent="0" rank="0" text="" dxfId="1736">
      <formula>J45&gt;0</formula>
    </cfRule>
  </conditionalFormatting>
  <conditionalFormatting sqref="J47">
    <cfRule type="cellIs" priority="714" operator="equal" aboveAverage="0" equalAverage="0" bottom="0" percent="0" rank="0" text="" dxfId="1737">
      <formula>"В"</formula>
    </cfRule>
  </conditionalFormatting>
  <conditionalFormatting sqref="J47">
    <cfRule type="cellIs" priority="715" operator="greaterThan" aboveAverage="0" equalAverage="0" bottom="0" percent="0" rank="0" text="" dxfId="1738">
      <formula>0</formula>
    </cfRule>
    <cfRule type="expression" priority="716" aboveAverage="0" equalAverage="0" bottom="0" percent="0" rank="0" text="" dxfId="1739">
      <formula>J46&gt;0</formula>
    </cfRule>
  </conditionalFormatting>
  <conditionalFormatting sqref="J48">
    <cfRule type="cellIs" priority="717" operator="equal" aboveAverage="0" equalAverage="0" bottom="0" percent="0" rank="0" text="" dxfId="1740">
      <formula>"В"</formula>
    </cfRule>
  </conditionalFormatting>
  <conditionalFormatting sqref="J48">
    <cfRule type="cellIs" priority="718" operator="greaterThan" aboveAverage="0" equalAverage="0" bottom="0" percent="0" rank="0" text="" dxfId="1741">
      <formula>0</formula>
    </cfRule>
    <cfRule type="expression" priority="719" aboveAverage="0" equalAverage="0" bottom="0" percent="0" rank="0" text="" dxfId="1742">
      <formula>J47&gt;0</formula>
    </cfRule>
  </conditionalFormatting>
  <conditionalFormatting sqref="J49">
    <cfRule type="cellIs" priority="720" operator="equal" aboveAverage="0" equalAverage="0" bottom="0" percent="0" rank="0" text="" dxfId="1743">
      <formula>"В"</formula>
    </cfRule>
  </conditionalFormatting>
  <conditionalFormatting sqref="J49">
    <cfRule type="cellIs" priority="721" operator="greaterThan" aboveAverage="0" equalAverage="0" bottom="0" percent="0" rank="0" text="" dxfId="1744">
      <formula>0</formula>
    </cfRule>
    <cfRule type="expression" priority="722" aboveAverage="0" equalAverage="0" bottom="0" percent="0" rank="0" text="" dxfId="1745">
      <formula>J48&gt;0</formula>
    </cfRule>
  </conditionalFormatting>
  <conditionalFormatting sqref="K22">
    <cfRule type="cellIs" priority="723" operator="equal" aboveAverage="0" equalAverage="0" bottom="0" percent="0" rank="0" text="" dxfId="1746">
      <formula>"В"</formula>
    </cfRule>
  </conditionalFormatting>
  <conditionalFormatting sqref="K22">
    <cfRule type="cellIs" priority="724" operator="greaterThan" aboveAverage="0" equalAverage="0" bottom="0" percent="0" rank="0" text="" dxfId="1747">
      <formula>0</formula>
    </cfRule>
    <cfRule type="expression" priority="725" aboveAverage="0" equalAverage="0" bottom="0" percent="0" rank="0" text="" dxfId="1748">
      <formula>K21&gt;0</formula>
    </cfRule>
  </conditionalFormatting>
  <conditionalFormatting sqref="K23">
    <cfRule type="cellIs" priority="726" operator="equal" aboveAverage="0" equalAverage="0" bottom="0" percent="0" rank="0" text="" dxfId="1749">
      <formula>"В"</formula>
    </cfRule>
  </conditionalFormatting>
  <conditionalFormatting sqref="K23">
    <cfRule type="cellIs" priority="727" operator="greaterThan" aboveAverage="0" equalAverage="0" bottom="0" percent="0" rank="0" text="" dxfId="1750">
      <formula>0</formula>
    </cfRule>
    <cfRule type="expression" priority="728" aboveAverage="0" equalAverage="0" bottom="0" percent="0" rank="0" text="" dxfId="1751">
      <formula>K22&gt;0</formula>
    </cfRule>
  </conditionalFormatting>
  <conditionalFormatting sqref="K24">
    <cfRule type="cellIs" priority="729" operator="equal" aboveAverage="0" equalAverage="0" bottom="0" percent="0" rank="0" text="" dxfId="1752">
      <formula>"В"</formula>
    </cfRule>
  </conditionalFormatting>
  <conditionalFormatting sqref="K24">
    <cfRule type="cellIs" priority="730" operator="greaterThan" aboveAverage="0" equalAverage="0" bottom="0" percent="0" rank="0" text="" dxfId="1753">
      <formula>0</formula>
    </cfRule>
    <cfRule type="expression" priority="731" aboveAverage="0" equalAverage="0" bottom="0" percent="0" rank="0" text="" dxfId="1754">
      <formula>K23&gt;0</formula>
    </cfRule>
  </conditionalFormatting>
  <conditionalFormatting sqref="K25">
    <cfRule type="cellIs" priority="732" operator="equal" aboveAverage="0" equalAverage="0" bottom="0" percent="0" rank="0" text="" dxfId="1755">
      <formula>"В"</formula>
    </cfRule>
  </conditionalFormatting>
  <conditionalFormatting sqref="K25">
    <cfRule type="cellIs" priority="733" operator="greaterThan" aboveAverage="0" equalAverage="0" bottom="0" percent="0" rank="0" text="" dxfId="1756">
      <formula>0</formula>
    </cfRule>
    <cfRule type="expression" priority="734" aboveAverage="0" equalAverage="0" bottom="0" percent="0" rank="0" text="" dxfId="1757">
      <formula>K24&gt;0</formula>
    </cfRule>
  </conditionalFormatting>
  <conditionalFormatting sqref="K26">
    <cfRule type="cellIs" priority="735" operator="equal" aboveAverage="0" equalAverage="0" bottom="0" percent="0" rank="0" text="" dxfId="1758">
      <formula>"В"</formula>
    </cfRule>
  </conditionalFormatting>
  <conditionalFormatting sqref="K26">
    <cfRule type="cellIs" priority="736" operator="greaterThan" aboveAverage="0" equalAverage="0" bottom="0" percent="0" rank="0" text="" dxfId="1759">
      <formula>0</formula>
    </cfRule>
    <cfRule type="expression" priority="737" aboveAverage="0" equalAverage="0" bottom="0" percent="0" rank="0" text="" dxfId="1760">
      <formula>K25&gt;0</formula>
    </cfRule>
  </conditionalFormatting>
  <conditionalFormatting sqref="K27">
    <cfRule type="cellIs" priority="738" operator="equal" aboveAverage="0" equalAverage="0" bottom="0" percent="0" rank="0" text="" dxfId="1761">
      <formula>"В"</formula>
    </cfRule>
  </conditionalFormatting>
  <conditionalFormatting sqref="K27">
    <cfRule type="cellIs" priority="739" operator="greaterThan" aboveAverage="0" equalAverage="0" bottom="0" percent="0" rank="0" text="" dxfId="1762">
      <formula>0</formula>
    </cfRule>
    <cfRule type="expression" priority="740" aboveAverage="0" equalAverage="0" bottom="0" percent="0" rank="0" text="" dxfId="1763">
      <formula>K26&gt;0</formula>
    </cfRule>
  </conditionalFormatting>
  <conditionalFormatting sqref="K28">
    <cfRule type="cellIs" priority="741" operator="equal" aboveAverage="0" equalAverage="0" bottom="0" percent="0" rank="0" text="" dxfId="1764">
      <formula>"В"</formula>
    </cfRule>
  </conditionalFormatting>
  <conditionalFormatting sqref="K28">
    <cfRule type="cellIs" priority="742" operator="greaterThan" aboveAverage="0" equalAverage="0" bottom="0" percent="0" rank="0" text="" dxfId="1765">
      <formula>0</formula>
    </cfRule>
    <cfRule type="expression" priority="743" aboveAverage="0" equalAverage="0" bottom="0" percent="0" rank="0" text="" dxfId="1766">
      <formula>K27&gt;0</formula>
    </cfRule>
  </conditionalFormatting>
  <conditionalFormatting sqref="K29">
    <cfRule type="cellIs" priority="744" operator="equal" aboveAverage="0" equalAverage="0" bottom="0" percent="0" rank="0" text="" dxfId="1767">
      <formula>"В"</formula>
    </cfRule>
  </conditionalFormatting>
  <conditionalFormatting sqref="K29">
    <cfRule type="cellIs" priority="745" operator="greaterThan" aboveAverage="0" equalAverage="0" bottom="0" percent="0" rank="0" text="" dxfId="1768">
      <formula>0</formula>
    </cfRule>
    <cfRule type="expression" priority="746" aboveAverage="0" equalAverage="0" bottom="0" percent="0" rank="0" text="" dxfId="1769">
      <formula>K28&gt;0</formula>
    </cfRule>
  </conditionalFormatting>
  <conditionalFormatting sqref="K30">
    <cfRule type="cellIs" priority="747" operator="equal" aboveAverage="0" equalAverage="0" bottom="0" percent="0" rank="0" text="" dxfId="1770">
      <formula>"В"</formula>
    </cfRule>
  </conditionalFormatting>
  <conditionalFormatting sqref="K30">
    <cfRule type="cellIs" priority="748" operator="greaterThan" aboveAverage="0" equalAverage="0" bottom="0" percent="0" rank="0" text="" dxfId="1771">
      <formula>0</formula>
    </cfRule>
    <cfRule type="expression" priority="749" aboveAverage="0" equalAverage="0" bottom="0" percent="0" rank="0" text="" dxfId="1772">
      <formula>K29&gt;0</formula>
    </cfRule>
  </conditionalFormatting>
  <conditionalFormatting sqref="K31">
    <cfRule type="cellIs" priority="750" operator="equal" aboveAverage="0" equalAverage="0" bottom="0" percent="0" rank="0" text="" dxfId="1773">
      <formula>"В"</formula>
    </cfRule>
  </conditionalFormatting>
  <conditionalFormatting sqref="K31">
    <cfRule type="cellIs" priority="751" operator="greaterThan" aboveAverage="0" equalAverage="0" bottom="0" percent="0" rank="0" text="" dxfId="1774">
      <formula>0</formula>
    </cfRule>
    <cfRule type="expression" priority="752" aboveAverage="0" equalAverage="0" bottom="0" percent="0" rank="0" text="" dxfId="1775">
      <formula>K30&gt;0</formula>
    </cfRule>
  </conditionalFormatting>
  <conditionalFormatting sqref="K32">
    <cfRule type="cellIs" priority="753" operator="equal" aboveAverage="0" equalAverage="0" bottom="0" percent="0" rank="0" text="" dxfId="1776">
      <formula>"В"</formula>
    </cfRule>
  </conditionalFormatting>
  <conditionalFormatting sqref="K32">
    <cfRule type="cellIs" priority="754" operator="greaterThan" aboveAverage="0" equalAverage="0" bottom="0" percent="0" rank="0" text="" dxfId="1777">
      <formula>0</formula>
    </cfRule>
    <cfRule type="expression" priority="755" aboveAverage="0" equalAverage="0" bottom="0" percent="0" rank="0" text="" dxfId="1778">
      <formula>K31&gt;0</formula>
    </cfRule>
  </conditionalFormatting>
  <conditionalFormatting sqref="K33">
    <cfRule type="cellIs" priority="756" operator="equal" aboveAverage="0" equalAverage="0" bottom="0" percent="0" rank="0" text="" dxfId="1779">
      <formula>"В"</formula>
    </cfRule>
  </conditionalFormatting>
  <conditionalFormatting sqref="K33">
    <cfRule type="cellIs" priority="757" operator="greaterThan" aboveAverage="0" equalAverage="0" bottom="0" percent="0" rank="0" text="" dxfId="1780">
      <formula>0</formula>
    </cfRule>
    <cfRule type="expression" priority="758" aboveAverage="0" equalAverage="0" bottom="0" percent="0" rank="0" text="" dxfId="1781">
      <formula>K32&gt;0</formula>
    </cfRule>
  </conditionalFormatting>
  <conditionalFormatting sqref="K34">
    <cfRule type="cellIs" priority="759" operator="equal" aboveAverage="0" equalAverage="0" bottom="0" percent="0" rank="0" text="" dxfId="1782">
      <formula>"В"</formula>
    </cfRule>
  </conditionalFormatting>
  <conditionalFormatting sqref="K34">
    <cfRule type="cellIs" priority="760" operator="greaterThan" aboveAverage="0" equalAverage="0" bottom="0" percent="0" rank="0" text="" dxfId="1783">
      <formula>0</formula>
    </cfRule>
    <cfRule type="expression" priority="761" aboveAverage="0" equalAverage="0" bottom="0" percent="0" rank="0" text="" dxfId="1784">
      <formula>K33&gt;0</formula>
    </cfRule>
  </conditionalFormatting>
  <conditionalFormatting sqref="K35">
    <cfRule type="cellIs" priority="762" operator="equal" aboveAverage="0" equalAverage="0" bottom="0" percent="0" rank="0" text="" dxfId="1785">
      <formula>"В"</formula>
    </cfRule>
  </conditionalFormatting>
  <conditionalFormatting sqref="K35">
    <cfRule type="cellIs" priority="763" operator="greaterThan" aboveAverage="0" equalAverage="0" bottom="0" percent="0" rank="0" text="" dxfId="1786">
      <formula>0</formula>
    </cfRule>
    <cfRule type="expression" priority="764" aboveAverage="0" equalAverage="0" bottom="0" percent="0" rank="0" text="" dxfId="1787">
      <formula>K34&gt;0</formula>
    </cfRule>
  </conditionalFormatting>
  <conditionalFormatting sqref="K36">
    <cfRule type="cellIs" priority="765" operator="equal" aboveAverage="0" equalAverage="0" bottom="0" percent="0" rank="0" text="" dxfId="1788">
      <formula>"В"</formula>
    </cfRule>
  </conditionalFormatting>
  <conditionalFormatting sqref="K36">
    <cfRule type="cellIs" priority="766" operator="greaterThan" aboveAverage="0" equalAverage="0" bottom="0" percent="0" rank="0" text="" dxfId="1789">
      <formula>0</formula>
    </cfRule>
    <cfRule type="expression" priority="767" aboveAverage="0" equalAverage="0" bottom="0" percent="0" rank="0" text="" dxfId="1790">
      <formula>K35&gt;0</formula>
    </cfRule>
  </conditionalFormatting>
  <conditionalFormatting sqref="K37">
    <cfRule type="cellIs" priority="768" operator="equal" aboveAverage="0" equalAverage="0" bottom="0" percent="0" rank="0" text="" dxfId="1791">
      <formula>"В"</formula>
    </cfRule>
  </conditionalFormatting>
  <conditionalFormatting sqref="K37">
    <cfRule type="cellIs" priority="769" operator="greaterThan" aboveAverage="0" equalAverage="0" bottom="0" percent="0" rank="0" text="" dxfId="1792">
      <formula>0</formula>
    </cfRule>
    <cfRule type="expression" priority="770" aboveAverage="0" equalAverage="0" bottom="0" percent="0" rank="0" text="" dxfId="1793">
      <formula>K36&gt;0</formula>
    </cfRule>
  </conditionalFormatting>
  <conditionalFormatting sqref="K38">
    <cfRule type="cellIs" priority="771" operator="equal" aboveAverage="0" equalAverage="0" bottom="0" percent="0" rank="0" text="" dxfId="1794">
      <formula>"В"</formula>
    </cfRule>
  </conditionalFormatting>
  <conditionalFormatting sqref="K38">
    <cfRule type="cellIs" priority="772" operator="greaterThan" aboveAverage="0" equalAverage="0" bottom="0" percent="0" rank="0" text="" dxfId="1795">
      <formula>0</formula>
    </cfRule>
    <cfRule type="expression" priority="773" aboveAverage="0" equalAverage="0" bottom="0" percent="0" rank="0" text="" dxfId="1796">
      <formula>K37&gt;0</formula>
    </cfRule>
  </conditionalFormatting>
  <conditionalFormatting sqref="K39">
    <cfRule type="cellIs" priority="774" operator="equal" aboveAverage="0" equalAverage="0" bottom="0" percent="0" rank="0" text="" dxfId="1797">
      <formula>"В"</formula>
    </cfRule>
  </conditionalFormatting>
  <conditionalFormatting sqref="K39">
    <cfRule type="cellIs" priority="775" operator="greaterThan" aboveAverage="0" equalAverage="0" bottom="0" percent="0" rank="0" text="" dxfId="1798">
      <formula>0</formula>
    </cfRule>
    <cfRule type="expression" priority="776" aboveAverage="0" equalAverage="0" bottom="0" percent="0" rank="0" text="" dxfId="1799">
      <formula>K38&gt;0</formula>
    </cfRule>
  </conditionalFormatting>
  <conditionalFormatting sqref="K40">
    <cfRule type="cellIs" priority="777" operator="equal" aboveAverage="0" equalAverage="0" bottom="0" percent="0" rank="0" text="" dxfId="1800">
      <formula>"В"</formula>
    </cfRule>
  </conditionalFormatting>
  <conditionalFormatting sqref="K40">
    <cfRule type="cellIs" priority="778" operator="greaterThan" aboveAverage="0" equalAverage="0" bottom="0" percent="0" rank="0" text="" dxfId="1801">
      <formula>0</formula>
    </cfRule>
    <cfRule type="expression" priority="779" aboveAverage="0" equalAverage="0" bottom="0" percent="0" rank="0" text="" dxfId="1802">
      <formula>K39&gt;0</formula>
    </cfRule>
  </conditionalFormatting>
  <conditionalFormatting sqref="K41">
    <cfRule type="cellIs" priority="780" operator="equal" aboveAverage="0" equalAverage="0" bottom="0" percent="0" rank="0" text="" dxfId="1803">
      <formula>"В"</formula>
    </cfRule>
  </conditionalFormatting>
  <conditionalFormatting sqref="K41">
    <cfRule type="cellIs" priority="781" operator="greaterThan" aboveAverage="0" equalAverage="0" bottom="0" percent="0" rank="0" text="" dxfId="1804">
      <formula>0</formula>
    </cfRule>
    <cfRule type="expression" priority="782" aboveAverage="0" equalAverage="0" bottom="0" percent="0" rank="0" text="" dxfId="1805">
      <formula>K40&gt;0</formula>
    </cfRule>
  </conditionalFormatting>
  <conditionalFormatting sqref="K42">
    <cfRule type="cellIs" priority="783" operator="equal" aboveAverage="0" equalAverage="0" bottom="0" percent="0" rank="0" text="" dxfId="1806">
      <formula>"В"</formula>
    </cfRule>
  </conditionalFormatting>
  <conditionalFormatting sqref="K42">
    <cfRule type="cellIs" priority="784" operator="greaterThan" aboveAverage="0" equalAverage="0" bottom="0" percent="0" rank="0" text="" dxfId="1807">
      <formula>0</formula>
    </cfRule>
    <cfRule type="expression" priority="785" aboveAverage="0" equalAverage="0" bottom="0" percent="0" rank="0" text="" dxfId="1808">
      <formula>K41&gt;0</formula>
    </cfRule>
  </conditionalFormatting>
  <conditionalFormatting sqref="K43">
    <cfRule type="cellIs" priority="786" operator="equal" aboveAverage="0" equalAverage="0" bottom="0" percent="0" rank="0" text="" dxfId="1809">
      <formula>"В"</formula>
    </cfRule>
  </conditionalFormatting>
  <conditionalFormatting sqref="K43">
    <cfRule type="cellIs" priority="787" operator="greaterThan" aboveAverage="0" equalAverage="0" bottom="0" percent="0" rank="0" text="" dxfId="1810">
      <formula>0</formula>
    </cfRule>
    <cfRule type="expression" priority="788" aboveAverage="0" equalAverage="0" bottom="0" percent="0" rank="0" text="" dxfId="1811">
      <formula>K42&gt;0</formula>
    </cfRule>
  </conditionalFormatting>
  <conditionalFormatting sqref="K44">
    <cfRule type="cellIs" priority="789" operator="equal" aboveAverage="0" equalAverage="0" bottom="0" percent="0" rank="0" text="" dxfId="1812">
      <formula>"В"</formula>
    </cfRule>
  </conditionalFormatting>
  <conditionalFormatting sqref="K44">
    <cfRule type="cellIs" priority="790" operator="greaterThan" aboveAverage="0" equalAverage="0" bottom="0" percent="0" rank="0" text="" dxfId="1813">
      <formula>0</formula>
    </cfRule>
    <cfRule type="expression" priority="791" aboveAverage="0" equalAverage="0" bottom="0" percent="0" rank="0" text="" dxfId="1814">
      <formula>K43&gt;0</formula>
    </cfRule>
  </conditionalFormatting>
  <conditionalFormatting sqref="K45">
    <cfRule type="cellIs" priority="792" operator="equal" aboveAverage="0" equalAverage="0" bottom="0" percent="0" rank="0" text="" dxfId="1815">
      <formula>"В"</formula>
    </cfRule>
  </conditionalFormatting>
  <conditionalFormatting sqref="K45">
    <cfRule type="cellIs" priority="793" operator="greaterThan" aboveAverage="0" equalAverage="0" bottom="0" percent="0" rank="0" text="" dxfId="1816">
      <formula>0</formula>
    </cfRule>
    <cfRule type="expression" priority="794" aboveAverage="0" equalAverage="0" bottom="0" percent="0" rank="0" text="" dxfId="1817">
      <formula>K44&gt;0</formula>
    </cfRule>
  </conditionalFormatting>
  <conditionalFormatting sqref="K46">
    <cfRule type="cellIs" priority="795" operator="equal" aboveAverage="0" equalAverage="0" bottom="0" percent="0" rank="0" text="" dxfId="1818">
      <formula>"В"</formula>
    </cfRule>
  </conditionalFormatting>
  <conditionalFormatting sqref="K46">
    <cfRule type="cellIs" priority="796" operator="greaterThan" aboveAverage="0" equalAverage="0" bottom="0" percent="0" rank="0" text="" dxfId="1819">
      <formula>0</formula>
    </cfRule>
    <cfRule type="expression" priority="797" aboveAverage="0" equalAverage="0" bottom="0" percent="0" rank="0" text="" dxfId="1820">
      <formula>K45&gt;0</formula>
    </cfRule>
  </conditionalFormatting>
  <conditionalFormatting sqref="K47">
    <cfRule type="cellIs" priority="798" operator="equal" aboveAverage="0" equalAverage="0" bottom="0" percent="0" rank="0" text="" dxfId="1821">
      <formula>"В"</formula>
    </cfRule>
  </conditionalFormatting>
  <conditionalFormatting sqref="K47">
    <cfRule type="cellIs" priority="799" operator="greaterThan" aboveAverage="0" equalAverage="0" bottom="0" percent="0" rank="0" text="" dxfId="1822">
      <formula>0</formula>
    </cfRule>
    <cfRule type="expression" priority="800" aboveAverage="0" equalAverage="0" bottom="0" percent="0" rank="0" text="" dxfId="1823">
      <formula>K46&gt;0</formula>
    </cfRule>
  </conditionalFormatting>
  <conditionalFormatting sqref="K48">
    <cfRule type="cellIs" priority="801" operator="equal" aboveAverage="0" equalAverage="0" bottom="0" percent="0" rank="0" text="" dxfId="1824">
      <formula>"В"</formula>
    </cfRule>
  </conditionalFormatting>
  <conditionalFormatting sqref="K48">
    <cfRule type="cellIs" priority="802" operator="greaterThan" aboveAverage="0" equalAverage="0" bottom="0" percent="0" rank="0" text="" dxfId="1825">
      <formula>0</formula>
    </cfRule>
    <cfRule type="expression" priority="803" aboveAverage="0" equalAverage="0" bottom="0" percent="0" rank="0" text="" dxfId="1826">
      <formula>K47&gt;0</formula>
    </cfRule>
  </conditionalFormatting>
  <conditionalFormatting sqref="K49">
    <cfRule type="cellIs" priority="804" operator="equal" aboveAverage="0" equalAverage="0" bottom="0" percent="0" rank="0" text="" dxfId="1827">
      <formula>"В"</formula>
    </cfRule>
  </conditionalFormatting>
  <conditionalFormatting sqref="K49">
    <cfRule type="cellIs" priority="805" operator="greaterThan" aboveAverage="0" equalAverage="0" bottom="0" percent="0" rank="0" text="" dxfId="1828">
      <formula>0</formula>
    </cfRule>
    <cfRule type="expression" priority="806" aboveAverage="0" equalAverage="0" bottom="0" percent="0" rank="0" text="" dxfId="1829">
      <formula>K48&gt;0</formula>
    </cfRule>
  </conditionalFormatting>
  <conditionalFormatting sqref="L22">
    <cfRule type="cellIs" priority="807" operator="equal" aboveAverage="0" equalAverage="0" bottom="0" percent="0" rank="0" text="" dxfId="1830">
      <formula>"В"</formula>
    </cfRule>
  </conditionalFormatting>
  <conditionalFormatting sqref="L22">
    <cfRule type="cellIs" priority="808" operator="greaterThan" aboveAverage="0" equalAverage="0" bottom="0" percent="0" rank="0" text="" dxfId="1831">
      <formula>0</formula>
    </cfRule>
    <cfRule type="expression" priority="809" aboveAverage="0" equalAverage="0" bottom="0" percent="0" rank="0" text="" dxfId="1832">
      <formula>L21&gt;0</formula>
    </cfRule>
  </conditionalFormatting>
  <conditionalFormatting sqref="L23">
    <cfRule type="cellIs" priority="810" operator="equal" aboveAverage="0" equalAverage="0" bottom="0" percent="0" rank="0" text="" dxfId="1833">
      <formula>"В"</formula>
    </cfRule>
  </conditionalFormatting>
  <conditionalFormatting sqref="L23">
    <cfRule type="cellIs" priority="811" operator="greaterThan" aboveAverage="0" equalAverage="0" bottom="0" percent="0" rank="0" text="" dxfId="1834">
      <formula>0</formula>
    </cfRule>
    <cfRule type="expression" priority="812" aboveAverage="0" equalAverage="0" bottom="0" percent="0" rank="0" text="" dxfId="1835">
      <formula>L22&gt;0</formula>
    </cfRule>
  </conditionalFormatting>
  <conditionalFormatting sqref="L24">
    <cfRule type="cellIs" priority="813" operator="equal" aboveAverage="0" equalAverage="0" bottom="0" percent="0" rank="0" text="" dxfId="1836">
      <formula>"В"</formula>
    </cfRule>
  </conditionalFormatting>
  <conditionalFormatting sqref="L24">
    <cfRule type="cellIs" priority="814" operator="greaterThan" aboveAverage="0" equalAverage="0" bottom="0" percent="0" rank="0" text="" dxfId="1837">
      <formula>0</formula>
    </cfRule>
    <cfRule type="expression" priority="815" aboveAverage="0" equalAverage="0" bottom="0" percent="0" rank="0" text="" dxfId="1838">
      <formula>L23&gt;0</formula>
    </cfRule>
  </conditionalFormatting>
  <conditionalFormatting sqref="L25">
    <cfRule type="cellIs" priority="816" operator="equal" aboveAverage="0" equalAverage="0" bottom="0" percent="0" rank="0" text="" dxfId="1839">
      <formula>"В"</formula>
    </cfRule>
  </conditionalFormatting>
  <conditionalFormatting sqref="L25">
    <cfRule type="cellIs" priority="817" operator="greaterThan" aboveAverage="0" equalAverage="0" bottom="0" percent="0" rank="0" text="" dxfId="1840">
      <formula>0</formula>
    </cfRule>
    <cfRule type="expression" priority="818" aboveAverage="0" equalAverage="0" bottom="0" percent="0" rank="0" text="" dxfId="1841">
      <formula>L24&gt;0</formula>
    </cfRule>
  </conditionalFormatting>
  <conditionalFormatting sqref="L26">
    <cfRule type="cellIs" priority="819" operator="equal" aboveAverage="0" equalAverage="0" bottom="0" percent="0" rank="0" text="" dxfId="1842">
      <formula>"В"</formula>
    </cfRule>
  </conditionalFormatting>
  <conditionalFormatting sqref="L26">
    <cfRule type="cellIs" priority="820" operator="greaterThan" aboveAverage="0" equalAverage="0" bottom="0" percent="0" rank="0" text="" dxfId="1843">
      <formula>0</formula>
    </cfRule>
    <cfRule type="expression" priority="821" aboveAverage="0" equalAverage="0" bottom="0" percent="0" rank="0" text="" dxfId="1844">
      <formula>L25&gt;0</formula>
    </cfRule>
  </conditionalFormatting>
  <conditionalFormatting sqref="L27">
    <cfRule type="cellIs" priority="822" operator="equal" aboveAverage="0" equalAverage="0" bottom="0" percent="0" rank="0" text="" dxfId="1845">
      <formula>"В"</formula>
    </cfRule>
  </conditionalFormatting>
  <conditionalFormatting sqref="L27">
    <cfRule type="cellIs" priority="823" operator="greaterThan" aboveAverage="0" equalAverage="0" bottom="0" percent="0" rank="0" text="" dxfId="1846">
      <formula>0</formula>
    </cfRule>
    <cfRule type="expression" priority="824" aboveAverage="0" equalAverage="0" bottom="0" percent="0" rank="0" text="" dxfId="1847">
      <formula>L26&gt;0</formula>
    </cfRule>
  </conditionalFormatting>
  <conditionalFormatting sqref="L28">
    <cfRule type="cellIs" priority="825" operator="equal" aboveAverage="0" equalAverage="0" bottom="0" percent="0" rank="0" text="" dxfId="1848">
      <formula>"В"</formula>
    </cfRule>
  </conditionalFormatting>
  <conditionalFormatting sqref="L28">
    <cfRule type="cellIs" priority="826" operator="greaterThan" aboveAverage="0" equalAverage="0" bottom="0" percent="0" rank="0" text="" dxfId="1849">
      <formula>0</formula>
    </cfRule>
    <cfRule type="expression" priority="827" aboveAverage="0" equalAverage="0" bottom="0" percent="0" rank="0" text="" dxfId="1850">
      <formula>L27&gt;0</formula>
    </cfRule>
  </conditionalFormatting>
  <conditionalFormatting sqref="L29">
    <cfRule type="cellIs" priority="828" operator="equal" aboveAverage="0" equalAverage="0" bottom="0" percent="0" rank="0" text="" dxfId="1851">
      <formula>"В"</formula>
    </cfRule>
  </conditionalFormatting>
  <conditionalFormatting sqref="L29">
    <cfRule type="cellIs" priority="829" operator="greaterThan" aboveAverage="0" equalAverage="0" bottom="0" percent="0" rank="0" text="" dxfId="1852">
      <formula>0</formula>
    </cfRule>
    <cfRule type="expression" priority="830" aboveAverage="0" equalAverage="0" bottom="0" percent="0" rank="0" text="" dxfId="1853">
      <formula>L28&gt;0</formula>
    </cfRule>
  </conditionalFormatting>
  <conditionalFormatting sqref="L30">
    <cfRule type="cellIs" priority="831" operator="equal" aboveAverage="0" equalAverage="0" bottom="0" percent="0" rank="0" text="" dxfId="1854">
      <formula>"В"</formula>
    </cfRule>
  </conditionalFormatting>
  <conditionalFormatting sqref="L30">
    <cfRule type="cellIs" priority="832" operator="greaterThan" aboveAverage="0" equalAverage="0" bottom="0" percent="0" rank="0" text="" dxfId="1855">
      <formula>0</formula>
    </cfRule>
    <cfRule type="expression" priority="833" aboveAverage="0" equalAverage="0" bottom="0" percent="0" rank="0" text="" dxfId="1856">
      <formula>L29&gt;0</formula>
    </cfRule>
  </conditionalFormatting>
  <conditionalFormatting sqref="L31">
    <cfRule type="cellIs" priority="834" operator="equal" aboveAverage="0" equalAverage="0" bottom="0" percent="0" rank="0" text="" dxfId="1857">
      <formula>"В"</formula>
    </cfRule>
  </conditionalFormatting>
  <conditionalFormatting sqref="L31">
    <cfRule type="cellIs" priority="835" operator="greaterThan" aboveAverage="0" equalAverage="0" bottom="0" percent="0" rank="0" text="" dxfId="1858">
      <formula>0</formula>
    </cfRule>
    <cfRule type="expression" priority="836" aboveAverage="0" equalAverage="0" bottom="0" percent="0" rank="0" text="" dxfId="1859">
      <formula>L30&gt;0</formula>
    </cfRule>
  </conditionalFormatting>
  <conditionalFormatting sqref="L32">
    <cfRule type="cellIs" priority="837" operator="equal" aboveAverage="0" equalAverage="0" bottom="0" percent="0" rank="0" text="" dxfId="1860">
      <formula>"В"</formula>
    </cfRule>
  </conditionalFormatting>
  <conditionalFormatting sqref="L32">
    <cfRule type="cellIs" priority="838" operator="greaterThan" aboveAverage="0" equalAverage="0" bottom="0" percent="0" rank="0" text="" dxfId="1861">
      <formula>0</formula>
    </cfRule>
    <cfRule type="expression" priority="839" aboveAverage="0" equalAverage="0" bottom="0" percent="0" rank="0" text="" dxfId="1862">
      <formula>L31&gt;0</formula>
    </cfRule>
  </conditionalFormatting>
  <conditionalFormatting sqref="L33">
    <cfRule type="cellIs" priority="840" operator="equal" aboveAverage="0" equalAverage="0" bottom="0" percent="0" rank="0" text="" dxfId="1863">
      <formula>"В"</formula>
    </cfRule>
  </conditionalFormatting>
  <conditionalFormatting sqref="L33">
    <cfRule type="cellIs" priority="841" operator="greaterThan" aboveAverage="0" equalAverage="0" bottom="0" percent="0" rank="0" text="" dxfId="1864">
      <formula>0</formula>
    </cfRule>
    <cfRule type="expression" priority="842" aboveAverage="0" equalAverage="0" bottom="0" percent="0" rank="0" text="" dxfId="1865">
      <formula>L32&gt;0</formula>
    </cfRule>
  </conditionalFormatting>
  <conditionalFormatting sqref="L34">
    <cfRule type="cellIs" priority="843" operator="equal" aboveAverage="0" equalAverage="0" bottom="0" percent="0" rank="0" text="" dxfId="1866">
      <formula>"В"</formula>
    </cfRule>
  </conditionalFormatting>
  <conditionalFormatting sqref="L34">
    <cfRule type="cellIs" priority="844" operator="greaterThan" aboveAverage="0" equalAverage="0" bottom="0" percent="0" rank="0" text="" dxfId="1867">
      <formula>0</formula>
    </cfRule>
    <cfRule type="expression" priority="845" aboveAverage="0" equalAverage="0" bottom="0" percent="0" rank="0" text="" dxfId="1868">
      <formula>L33&gt;0</formula>
    </cfRule>
  </conditionalFormatting>
  <conditionalFormatting sqref="L35">
    <cfRule type="cellIs" priority="846" operator="equal" aboveAverage="0" equalAverage="0" bottom="0" percent="0" rank="0" text="" dxfId="1869">
      <formula>"В"</formula>
    </cfRule>
  </conditionalFormatting>
  <conditionalFormatting sqref="L35">
    <cfRule type="cellIs" priority="847" operator="greaterThan" aboveAverage="0" equalAverage="0" bottom="0" percent="0" rank="0" text="" dxfId="1870">
      <formula>0</formula>
    </cfRule>
    <cfRule type="expression" priority="848" aboveAverage="0" equalAverage="0" bottom="0" percent="0" rank="0" text="" dxfId="1871">
      <formula>L34&gt;0</formula>
    </cfRule>
  </conditionalFormatting>
  <conditionalFormatting sqref="L36">
    <cfRule type="cellIs" priority="849" operator="equal" aboveAverage="0" equalAverage="0" bottom="0" percent="0" rank="0" text="" dxfId="1872">
      <formula>"В"</formula>
    </cfRule>
  </conditionalFormatting>
  <conditionalFormatting sqref="L36">
    <cfRule type="cellIs" priority="850" operator="greaterThan" aboveAverage="0" equalAverage="0" bottom="0" percent="0" rank="0" text="" dxfId="1873">
      <formula>0</formula>
    </cfRule>
    <cfRule type="expression" priority="851" aboveAverage="0" equalAverage="0" bottom="0" percent="0" rank="0" text="" dxfId="1874">
      <formula>L35&gt;0</formula>
    </cfRule>
  </conditionalFormatting>
  <conditionalFormatting sqref="L37">
    <cfRule type="cellIs" priority="852" operator="equal" aboveAverage="0" equalAverage="0" bottom="0" percent="0" rank="0" text="" dxfId="1875">
      <formula>"В"</formula>
    </cfRule>
  </conditionalFormatting>
  <conditionalFormatting sqref="L37">
    <cfRule type="cellIs" priority="853" operator="greaterThan" aboveAverage="0" equalAverage="0" bottom="0" percent="0" rank="0" text="" dxfId="1876">
      <formula>0</formula>
    </cfRule>
    <cfRule type="expression" priority="854" aboveAverage="0" equalAverage="0" bottom="0" percent="0" rank="0" text="" dxfId="1877">
      <formula>L36&gt;0</formula>
    </cfRule>
  </conditionalFormatting>
  <conditionalFormatting sqref="L38">
    <cfRule type="cellIs" priority="855" operator="equal" aboveAverage="0" equalAverage="0" bottom="0" percent="0" rank="0" text="" dxfId="1878">
      <formula>"В"</formula>
    </cfRule>
  </conditionalFormatting>
  <conditionalFormatting sqref="L38">
    <cfRule type="cellIs" priority="856" operator="greaterThan" aboveAverage="0" equalAverage="0" bottom="0" percent="0" rank="0" text="" dxfId="1879">
      <formula>0</formula>
    </cfRule>
    <cfRule type="expression" priority="857" aboveAverage="0" equalAverage="0" bottom="0" percent="0" rank="0" text="" dxfId="1880">
      <formula>L37&gt;0</formula>
    </cfRule>
  </conditionalFormatting>
  <conditionalFormatting sqref="L39">
    <cfRule type="cellIs" priority="858" operator="equal" aboveAverage="0" equalAverage="0" bottom="0" percent="0" rank="0" text="" dxfId="1881">
      <formula>"В"</formula>
    </cfRule>
  </conditionalFormatting>
  <conditionalFormatting sqref="L39">
    <cfRule type="cellIs" priority="859" operator="greaterThan" aboveAverage="0" equalAverage="0" bottom="0" percent="0" rank="0" text="" dxfId="1882">
      <formula>0</formula>
    </cfRule>
    <cfRule type="expression" priority="860" aboveAverage="0" equalAverage="0" bottom="0" percent="0" rank="0" text="" dxfId="1883">
      <formula>L38&gt;0</formula>
    </cfRule>
  </conditionalFormatting>
  <conditionalFormatting sqref="L40">
    <cfRule type="cellIs" priority="861" operator="equal" aboveAverage="0" equalAverage="0" bottom="0" percent="0" rank="0" text="" dxfId="1884">
      <formula>"В"</formula>
    </cfRule>
  </conditionalFormatting>
  <conditionalFormatting sqref="L40">
    <cfRule type="cellIs" priority="862" operator="greaterThan" aboveAverage="0" equalAverage="0" bottom="0" percent="0" rank="0" text="" dxfId="1885">
      <formula>0</formula>
    </cfRule>
    <cfRule type="expression" priority="863" aboveAverage="0" equalAverage="0" bottom="0" percent="0" rank="0" text="" dxfId="1886">
      <formula>L39&gt;0</formula>
    </cfRule>
  </conditionalFormatting>
  <conditionalFormatting sqref="L41">
    <cfRule type="cellIs" priority="864" operator="equal" aboveAverage="0" equalAverage="0" bottom="0" percent="0" rank="0" text="" dxfId="1887">
      <formula>"В"</formula>
    </cfRule>
  </conditionalFormatting>
  <conditionalFormatting sqref="L41">
    <cfRule type="cellIs" priority="865" operator="greaterThan" aboveAverage="0" equalAverage="0" bottom="0" percent="0" rank="0" text="" dxfId="1888">
      <formula>0</formula>
    </cfRule>
    <cfRule type="expression" priority="866" aboveAverage="0" equalAverage="0" bottom="0" percent="0" rank="0" text="" dxfId="1889">
      <formula>L40&gt;0</formula>
    </cfRule>
  </conditionalFormatting>
  <conditionalFormatting sqref="L42">
    <cfRule type="cellIs" priority="867" operator="equal" aboveAverage="0" equalAverage="0" bottom="0" percent="0" rank="0" text="" dxfId="1890">
      <formula>"В"</formula>
    </cfRule>
  </conditionalFormatting>
  <conditionalFormatting sqref="L42">
    <cfRule type="cellIs" priority="868" operator="greaterThan" aboveAverage="0" equalAverage="0" bottom="0" percent="0" rank="0" text="" dxfId="1891">
      <formula>0</formula>
    </cfRule>
    <cfRule type="expression" priority="869" aboveAverage="0" equalAverage="0" bottom="0" percent="0" rank="0" text="" dxfId="1892">
      <formula>L41&gt;0</formula>
    </cfRule>
  </conditionalFormatting>
  <conditionalFormatting sqref="L43">
    <cfRule type="cellIs" priority="870" operator="equal" aboveAverage="0" equalAverage="0" bottom="0" percent="0" rank="0" text="" dxfId="1893">
      <formula>"В"</formula>
    </cfRule>
  </conditionalFormatting>
  <conditionalFormatting sqref="L43">
    <cfRule type="cellIs" priority="871" operator="greaterThan" aboveAverage="0" equalAverage="0" bottom="0" percent="0" rank="0" text="" dxfId="1894">
      <formula>0</formula>
    </cfRule>
    <cfRule type="expression" priority="872" aboveAverage="0" equalAverage="0" bottom="0" percent="0" rank="0" text="" dxfId="1895">
      <formula>L42&gt;0</formula>
    </cfRule>
  </conditionalFormatting>
  <conditionalFormatting sqref="L44">
    <cfRule type="cellIs" priority="873" operator="equal" aboveAverage="0" equalAverage="0" bottom="0" percent="0" rank="0" text="" dxfId="1896">
      <formula>"В"</formula>
    </cfRule>
  </conditionalFormatting>
  <conditionalFormatting sqref="L44">
    <cfRule type="cellIs" priority="874" operator="greaterThan" aboveAverage="0" equalAverage="0" bottom="0" percent="0" rank="0" text="" dxfId="1897">
      <formula>0</formula>
    </cfRule>
    <cfRule type="expression" priority="875" aboveAverage="0" equalAverage="0" bottom="0" percent="0" rank="0" text="" dxfId="1898">
      <formula>L43&gt;0</formula>
    </cfRule>
  </conditionalFormatting>
  <conditionalFormatting sqref="L45">
    <cfRule type="cellIs" priority="876" operator="equal" aboveAverage="0" equalAverage="0" bottom="0" percent="0" rank="0" text="" dxfId="1899">
      <formula>"В"</formula>
    </cfRule>
  </conditionalFormatting>
  <conditionalFormatting sqref="L45">
    <cfRule type="cellIs" priority="877" operator="greaterThan" aboveAverage="0" equalAverage="0" bottom="0" percent="0" rank="0" text="" dxfId="1900">
      <formula>0</formula>
    </cfRule>
    <cfRule type="expression" priority="878" aboveAverage="0" equalAverage="0" bottom="0" percent="0" rank="0" text="" dxfId="1901">
      <formula>L44&gt;0</formula>
    </cfRule>
  </conditionalFormatting>
  <conditionalFormatting sqref="L46">
    <cfRule type="cellIs" priority="879" operator="equal" aboveAverage="0" equalAverage="0" bottom="0" percent="0" rank="0" text="" dxfId="1902">
      <formula>"В"</formula>
    </cfRule>
  </conditionalFormatting>
  <conditionalFormatting sqref="L46">
    <cfRule type="cellIs" priority="880" operator="greaterThan" aboveAverage="0" equalAverage="0" bottom="0" percent="0" rank="0" text="" dxfId="1903">
      <formula>0</formula>
    </cfRule>
    <cfRule type="expression" priority="881" aboveAverage="0" equalAverage="0" bottom="0" percent="0" rank="0" text="" dxfId="1904">
      <formula>L45&gt;0</formula>
    </cfRule>
  </conditionalFormatting>
  <conditionalFormatting sqref="L47">
    <cfRule type="cellIs" priority="882" operator="equal" aboveAverage="0" equalAverage="0" bottom="0" percent="0" rank="0" text="" dxfId="1905">
      <formula>"В"</formula>
    </cfRule>
  </conditionalFormatting>
  <conditionalFormatting sqref="L47">
    <cfRule type="cellIs" priority="883" operator="greaterThan" aboveAverage="0" equalAverage="0" bottom="0" percent="0" rank="0" text="" dxfId="1906">
      <formula>0</formula>
    </cfRule>
    <cfRule type="expression" priority="884" aboveAverage="0" equalAverage="0" bottom="0" percent="0" rank="0" text="" dxfId="1907">
      <formula>L46&gt;0</formula>
    </cfRule>
  </conditionalFormatting>
  <conditionalFormatting sqref="L48">
    <cfRule type="cellIs" priority="885" operator="equal" aboveAverage="0" equalAverage="0" bottom="0" percent="0" rank="0" text="" dxfId="1908">
      <formula>"В"</formula>
    </cfRule>
  </conditionalFormatting>
  <conditionalFormatting sqref="L48">
    <cfRule type="cellIs" priority="886" operator="greaterThan" aboveAverage="0" equalAverage="0" bottom="0" percent="0" rank="0" text="" dxfId="1909">
      <formula>0</formula>
    </cfRule>
    <cfRule type="expression" priority="887" aboveAverage="0" equalAverage="0" bottom="0" percent="0" rank="0" text="" dxfId="1910">
      <formula>L47&gt;0</formula>
    </cfRule>
  </conditionalFormatting>
  <conditionalFormatting sqref="L49">
    <cfRule type="cellIs" priority="888" operator="equal" aboveAverage="0" equalAverage="0" bottom="0" percent="0" rank="0" text="" dxfId="1911">
      <formula>"В"</formula>
    </cfRule>
  </conditionalFormatting>
  <conditionalFormatting sqref="L49">
    <cfRule type="cellIs" priority="889" operator="greaterThan" aboveAverage="0" equalAverage="0" bottom="0" percent="0" rank="0" text="" dxfId="1912">
      <formula>0</formula>
    </cfRule>
    <cfRule type="expression" priority="890" aboveAverage="0" equalAverage="0" bottom="0" percent="0" rank="0" text="" dxfId="1913">
      <formula>L48&gt;0</formula>
    </cfRule>
  </conditionalFormatting>
  <conditionalFormatting sqref="M22">
    <cfRule type="cellIs" priority="891" operator="equal" aboveAverage="0" equalAverage="0" bottom="0" percent="0" rank="0" text="" dxfId="1914">
      <formula>"В"</formula>
    </cfRule>
  </conditionalFormatting>
  <conditionalFormatting sqref="M22">
    <cfRule type="cellIs" priority="892" operator="greaterThan" aboveAverage="0" equalAverage="0" bottom="0" percent="0" rank="0" text="" dxfId="1915">
      <formula>0</formula>
    </cfRule>
    <cfRule type="expression" priority="893" aboveAverage="0" equalAverage="0" bottom="0" percent="0" rank="0" text="" dxfId="1916">
      <formula>M21&gt;0</formula>
    </cfRule>
  </conditionalFormatting>
  <conditionalFormatting sqref="M23">
    <cfRule type="cellIs" priority="894" operator="equal" aboveAverage="0" equalAverage="0" bottom="0" percent="0" rank="0" text="" dxfId="1917">
      <formula>"В"</formula>
    </cfRule>
  </conditionalFormatting>
  <conditionalFormatting sqref="M23">
    <cfRule type="cellIs" priority="895" operator="greaterThan" aboveAverage="0" equalAverage="0" bottom="0" percent="0" rank="0" text="" dxfId="1918">
      <formula>0</formula>
    </cfRule>
    <cfRule type="expression" priority="896" aboveAverage="0" equalAverage="0" bottom="0" percent="0" rank="0" text="" dxfId="1919">
      <formula>M22&gt;0</formula>
    </cfRule>
  </conditionalFormatting>
  <conditionalFormatting sqref="M24">
    <cfRule type="cellIs" priority="897" operator="equal" aboveAverage="0" equalAverage="0" bottom="0" percent="0" rank="0" text="" dxfId="1920">
      <formula>"В"</formula>
    </cfRule>
  </conditionalFormatting>
  <conditionalFormatting sqref="M24">
    <cfRule type="cellIs" priority="898" operator="greaterThan" aboveAverage="0" equalAverage="0" bottom="0" percent="0" rank="0" text="" dxfId="1921">
      <formula>0</formula>
    </cfRule>
    <cfRule type="expression" priority="899" aboveAverage="0" equalAverage="0" bottom="0" percent="0" rank="0" text="" dxfId="1922">
      <formula>M23&gt;0</formula>
    </cfRule>
  </conditionalFormatting>
  <conditionalFormatting sqref="M25">
    <cfRule type="cellIs" priority="900" operator="equal" aboveAverage="0" equalAverage="0" bottom="0" percent="0" rank="0" text="" dxfId="1923">
      <formula>"В"</formula>
    </cfRule>
  </conditionalFormatting>
  <conditionalFormatting sqref="M25">
    <cfRule type="cellIs" priority="901" operator="greaterThan" aboveAverage="0" equalAverage="0" bottom="0" percent="0" rank="0" text="" dxfId="1924">
      <formula>0</formula>
    </cfRule>
    <cfRule type="expression" priority="902" aboveAverage="0" equalAverage="0" bottom="0" percent="0" rank="0" text="" dxfId="1925">
      <formula>M24&gt;0</formula>
    </cfRule>
  </conditionalFormatting>
  <conditionalFormatting sqref="M26">
    <cfRule type="cellIs" priority="903" operator="equal" aboveAverage="0" equalAverage="0" bottom="0" percent="0" rank="0" text="" dxfId="1926">
      <formula>"В"</formula>
    </cfRule>
  </conditionalFormatting>
  <conditionalFormatting sqref="M26">
    <cfRule type="cellIs" priority="904" operator="greaterThan" aboveAverage="0" equalAverage="0" bottom="0" percent="0" rank="0" text="" dxfId="1927">
      <formula>0</formula>
    </cfRule>
    <cfRule type="expression" priority="905" aboveAverage="0" equalAverage="0" bottom="0" percent="0" rank="0" text="" dxfId="1928">
      <formula>M25&gt;0</formula>
    </cfRule>
  </conditionalFormatting>
  <conditionalFormatting sqref="M27">
    <cfRule type="cellIs" priority="906" operator="equal" aboveAverage="0" equalAverage="0" bottom="0" percent="0" rank="0" text="" dxfId="1929">
      <formula>"В"</formula>
    </cfRule>
  </conditionalFormatting>
  <conditionalFormatting sqref="M27">
    <cfRule type="cellIs" priority="907" operator="greaterThan" aboveAverage="0" equalAverage="0" bottom="0" percent="0" rank="0" text="" dxfId="1930">
      <formula>0</formula>
    </cfRule>
    <cfRule type="expression" priority="908" aboveAverage="0" equalAverage="0" bottom="0" percent="0" rank="0" text="" dxfId="1931">
      <formula>M26&gt;0</formula>
    </cfRule>
  </conditionalFormatting>
  <conditionalFormatting sqref="M28">
    <cfRule type="cellIs" priority="909" operator="equal" aboveAverage="0" equalAverage="0" bottom="0" percent="0" rank="0" text="" dxfId="1932">
      <formula>"В"</formula>
    </cfRule>
  </conditionalFormatting>
  <conditionalFormatting sqref="M28">
    <cfRule type="cellIs" priority="910" operator="greaterThan" aboveAverage="0" equalAverage="0" bottom="0" percent="0" rank="0" text="" dxfId="1933">
      <formula>0</formula>
    </cfRule>
    <cfRule type="expression" priority="911" aboveAverage="0" equalAverage="0" bottom="0" percent="0" rank="0" text="" dxfId="1934">
      <formula>M27&gt;0</formula>
    </cfRule>
  </conditionalFormatting>
  <conditionalFormatting sqref="M29">
    <cfRule type="cellIs" priority="912" operator="equal" aboveAverage="0" equalAverage="0" bottom="0" percent="0" rank="0" text="" dxfId="1935">
      <formula>"В"</formula>
    </cfRule>
  </conditionalFormatting>
  <conditionalFormatting sqref="M29">
    <cfRule type="cellIs" priority="913" operator="greaterThan" aboveAverage="0" equalAverage="0" bottom="0" percent="0" rank="0" text="" dxfId="1936">
      <formula>0</formula>
    </cfRule>
    <cfRule type="expression" priority="914" aboveAverage="0" equalAverage="0" bottom="0" percent="0" rank="0" text="" dxfId="1937">
      <formula>M28&gt;0</formula>
    </cfRule>
  </conditionalFormatting>
  <conditionalFormatting sqref="M30">
    <cfRule type="cellIs" priority="915" operator="equal" aboveAverage="0" equalAverage="0" bottom="0" percent="0" rank="0" text="" dxfId="1938">
      <formula>"В"</formula>
    </cfRule>
  </conditionalFormatting>
  <conditionalFormatting sqref="M30">
    <cfRule type="cellIs" priority="916" operator="greaterThan" aboveAverage="0" equalAverage="0" bottom="0" percent="0" rank="0" text="" dxfId="1939">
      <formula>0</formula>
    </cfRule>
    <cfRule type="expression" priority="917" aboveAverage="0" equalAverage="0" bottom="0" percent="0" rank="0" text="" dxfId="1940">
      <formula>M29&gt;0</formula>
    </cfRule>
  </conditionalFormatting>
  <conditionalFormatting sqref="M31">
    <cfRule type="cellIs" priority="918" operator="equal" aboveAverage="0" equalAverage="0" bottom="0" percent="0" rank="0" text="" dxfId="1941">
      <formula>"В"</formula>
    </cfRule>
  </conditionalFormatting>
  <conditionalFormatting sqref="M31">
    <cfRule type="cellIs" priority="919" operator="greaterThan" aboveAverage="0" equalAverage="0" bottom="0" percent="0" rank="0" text="" dxfId="1942">
      <formula>0</formula>
    </cfRule>
    <cfRule type="expression" priority="920" aboveAverage="0" equalAverage="0" bottom="0" percent="0" rank="0" text="" dxfId="1943">
      <formula>M30&gt;0</formula>
    </cfRule>
  </conditionalFormatting>
  <conditionalFormatting sqref="M32">
    <cfRule type="cellIs" priority="921" operator="equal" aboveAverage="0" equalAverage="0" bottom="0" percent="0" rank="0" text="" dxfId="1944">
      <formula>"В"</formula>
    </cfRule>
  </conditionalFormatting>
  <conditionalFormatting sqref="M32">
    <cfRule type="cellIs" priority="922" operator="greaterThan" aboveAverage="0" equalAverage="0" bottom="0" percent="0" rank="0" text="" dxfId="1945">
      <formula>0</formula>
    </cfRule>
    <cfRule type="expression" priority="923" aboveAverage="0" equalAverage="0" bottom="0" percent="0" rank="0" text="" dxfId="1946">
      <formula>M31&gt;0</formula>
    </cfRule>
  </conditionalFormatting>
  <conditionalFormatting sqref="M33">
    <cfRule type="cellIs" priority="924" operator="equal" aboveAverage="0" equalAverage="0" bottom="0" percent="0" rank="0" text="" dxfId="1947">
      <formula>"В"</formula>
    </cfRule>
  </conditionalFormatting>
  <conditionalFormatting sqref="M33">
    <cfRule type="cellIs" priority="925" operator="greaterThan" aboveAverage="0" equalAverage="0" bottom="0" percent="0" rank="0" text="" dxfId="1948">
      <formula>0</formula>
    </cfRule>
    <cfRule type="expression" priority="926" aboveAverage="0" equalAverage="0" bottom="0" percent="0" rank="0" text="" dxfId="1949">
      <formula>M32&gt;0</formula>
    </cfRule>
  </conditionalFormatting>
  <conditionalFormatting sqref="M34">
    <cfRule type="cellIs" priority="927" operator="equal" aboveAverage="0" equalAverage="0" bottom="0" percent="0" rank="0" text="" dxfId="1950">
      <formula>"В"</formula>
    </cfRule>
  </conditionalFormatting>
  <conditionalFormatting sqref="M34">
    <cfRule type="cellIs" priority="928" operator="greaterThan" aboveAverage="0" equalAverage="0" bottom="0" percent="0" rank="0" text="" dxfId="1951">
      <formula>0</formula>
    </cfRule>
    <cfRule type="expression" priority="929" aboveAverage="0" equalAverage="0" bottom="0" percent="0" rank="0" text="" dxfId="1952">
      <formula>M33&gt;0</formula>
    </cfRule>
  </conditionalFormatting>
  <conditionalFormatting sqref="M35">
    <cfRule type="cellIs" priority="930" operator="equal" aboveAverage="0" equalAverage="0" bottom="0" percent="0" rank="0" text="" dxfId="1953">
      <formula>"В"</formula>
    </cfRule>
  </conditionalFormatting>
  <conditionalFormatting sqref="M35">
    <cfRule type="cellIs" priority="931" operator="greaterThan" aboveAverage="0" equalAverage="0" bottom="0" percent="0" rank="0" text="" dxfId="1954">
      <formula>0</formula>
    </cfRule>
    <cfRule type="expression" priority="932" aboveAverage="0" equalAverage="0" bottom="0" percent="0" rank="0" text="" dxfId="1955">
      <formula>M34&gt;0</formula>
    </cfRule>
  </conditionalFormatting>
  <conditionalFormatting sqref="M36">
    <cfRule type="cellIs" priority="933" operator="equal" aboveAverage="0" equalAverage="0" bottom="0" percent="0" rank="0" text="" dxfId="1956">
      <formula>"В"</formula>
    </cfRule>
  </conditionalFormatting>
  <conditionalFormatting sqref="M36">
    <cfRule type="cellIs" priority="934" operator="greaterThan" aboveAverage="0" equalAverage="0" bottom="0" percent="0" rank="0" text="" dxfId="1957">
      <formula>0</formula>
    </cfRule>
    <cfRule type="expression" priority="935" aboveAverage="0" equalAverage="0" bottom="0" percent="0" rank="0" text="" dxfId="1958">
      <formula>M35&gt;0</formula>
    </cfRule>
  </conditionalFormatting>
  <conditionalFormatting sqref="M37">
    <cfRule type="cellIs" priority="936" operator="equal" aboveAverage="0" equalAverage="0" bottom="0" percent="0" rank="0" text="" dxfId="1959">
      <formula>"В"</formula>
    </cfRule>
  </conditionalFormatting>
  <conditionalFormatting sqref="M37">
    <cfRule type="cellIs" priority="937" operator="greaterThan" aboveAverage="0" equalAverage="0" bottom="0" percent="0" rank="0" text="" dxfId="1960">
      <formula>0</formula>
    </cfRule>
    <cfRule type="expression" priority="938" aboveAverage="0" equalAverage="0" bottom="0" percent="0" rank="0" text="" dxfId="1961">
      <formula>M36&gt;0</formula>
    </cfRule>
  </conditionalFormatting>
  <conditionalFormatting sqref="M38">
    <cfRule type="cellIs" priority="939" operator="equal" aboveAverage="0" equalAverage="0" bottom="0" percent="0" rank="0" text="" dxfId="1962">
      <formula>"В"</formula>
    </cfRule>
  </conditionalFormatting>
  <conditionalFormatting sqref="M38">
    <cfRule type="cellIs" priority="940" operator="greaterThan" aboveAverage="0" equalAverage="0" bottom="0" percent="0" rank="0" text="" dxfId="1963">
      <formula>0</formula>
    </cfRule>
    <cfRule type="expression" priority="941" aboveAverage="0" equalAverage="0" bottom="0" percent="0" rank="0" text="" dxfId="1964">
      <formula>M37&gt;0</formula>
    </cfRule>
  </conditionalFormatting>
  <conditionalFormatting sqref="M39">
    <cfRule type="cellIs" priority="942" operator="equal" aboveAverage="0" equalAverage="0" bottom="0" percent="0" rank="0" text="" dxfId="1965">
      <formula>"В"</formula>
    </cfRule>
  </conditionalFormatting>
  <conditionalFormatting sqref="M39">
    <cfRule type="cellIs" priority="943" operator="greaterThan" aboveAverage="0" equalAverage="0" bottom="0" percent="0" rank="0" text="" dxfId="1966">
      <formula>0</formula>
    </cfRule>
    <cfRule type="expression" priority="944" aboveAverage="0" equalAverage="0" bottom="0" percent="0" rank="0" text="" dxfId="1967">
      <formula>M38&gt;0</formula>
    </cfRule>
  </conditionalFormatting>
  <conditionalFormatting sqref="M40">
    <cfRule type="cellIs" priority="945" operator="equal" aboveAverage="0" equalAverage="0" bottom="0" percent="0" rank="0" text="" dxfId="1968">
      <formula>"В"</formula>
    </cfRule>
  </conditionalFormatting>
  <conditionalFormatting sqref="M40">
    <cfRule type="cellIs" priority="946" operator="greaterThan" aboveAverage="0" equalAverage="0" bottom="0" percent="0" rank="0" text="" dxfId="1969">
      <formula>0</formula>
    </cfRule>
    <cfRule type="expression" priority="947" aboveAverage="0" equalAverage="0" bottom="0" percent="0" rank="0" text="" dxfId="1970">
      <formula>M39&gt;0</formula>
    </cfRule>
  </conditionalFormatting>
  <conditionalFormatting sqref="M41">
    <cfRule type="cellIs" priority="948" operator="equal" aboveAverage="0" equalAverage="0" bottom="0" percent="0" rank="0" text="" dxfId="1971">
      <formula>"В"</formula>
    </cfRule>
  </conditionalFormatting>
  <conditionalFormatting sqref="M41">
    <cfRule type="cellIs" priority="949" operator="greaterThan" aboveAverage="0" equalAverage="0" bottom="0" percent="0" rank="0" text="" dxfId="1972">
      <formula>0</formula>
    </cfRule>
    <cfRule type="expression" priority="950" aboveAverage="0" equalAverage="0" bottom="0" percent="0" rank="0" text="" dxfId="1973">
      <formula>M40&gt;0</formula>
    </cfRule>
  </conditionalFormatting>
  <conditionalFormatting sqref="M42">
    <cfRule type="cellIs" priority="951" operator="equal" aboveAverage="0" equalAverage="0" bottom="0" percent="0" rank="0" text="" dxfId="1974">
      <formula>"В"</formula>
    </cfRule>
  </conditionalFormatting>
  <conditionalFormatting sqref="M42">
    <cfRule type="cellIs" priority="952" operator="greaterThan" aboveAverage="0" equalAverage="0" bottom="0" percent="0" rank="0" text="" dxfId="1975">
      <formula>0</formula>
    </cfRule>
    <cfRule type="expression" priority="953" aboveAverage="0" equalAverage="0" bottom="0" percent="0" rank="0" text="" dxfId="1976">
      <formula>M41&gt;0</formula>
    </cfRule>
  </conditionalFormatting>
  <conditionalFormatting sqref="M43">
    <cfRule type="cellIs" priority="954" operator="equal" aboveAverage="0" equalAverage="0" bottom="0" percent="0" rank="0" text="" dxfId="1977">
      <formula>"В"</formula>
    </cfRule>
  </conditionalFormatting>
  <conditionalFormatting sqref="M43">
    <cfRule type="cellIs" priority="955" operator="greaterThan" aboveAverage="0" equalAverage="0" bottom="0" percent="0" rank="0" text="" dxfId="1978">
      <formula>0</formula>
    </cfRule>
    <cfRule type="expression" priority="956" aboveAverage="0" equalAverage="0" bottom="0" percent="0" rank="0" text="" dxfId="1979">
      <formula>M42&gt;0</formula>
    </cfRule>
  </conditionalFormatting>
  <conditionalFormatting sqref="M44">
    <cfRule type="cellIs" priority="957" operator="equal" aboveAverage="0" equalAverage="0" bottom="0" percent="0" rank="0" text="" dxfId="1980">
      <formula>"В"</formula>
    </cfRule>
  </conditionalFormatting>
  <conditionalFormatting sqref="M44">
    <cfRule type="cellIs" priority="958" operator="greaterThan" aboveAverage="0" equalAverage="0" bottom="0" percent="0" rank="0" text="" dxfId="1981">
      <formula>0</formula>
    </cfRule>
    <cfRule type="expression" priority="959" aboveAverage="0" equalAverage="0" bottom="0" percent="0" rank="0" text="" dxfId="1982">
      <formula>M43&gt;0</formula>
    </cfRule>
  </conditionalFormatting>
  <conditionalFormatting sqref="M45">
    <cfRule type="cellIs" priority="960" operator="equal" aboveAverage="0" equalAverage="0" bottom="0" percent="0" rank="0" text="" dxfId="1983">
      <formula>"В"</formula>
    </cfRule>
  </conditionalFormatting>
  <conditionalFormatting sqref="M45">
    <cfRule type="cellIs" priority="961" operator="greaterThan" aboveAverage="0" equalAverage="0" bottom="0" percent="0" rank="0" text="" dxfId="1984">
      <formula>0</formula>
    </cfRule>
    <cfRule type="expression" priority="962" aboveAverage="0" equalAverage="0" bottom="0" percent="0" rank="0" text="" dxfId="1985">
      <formula>M44&gt;0</formula>
    </cfRule>
  </conditionalFormatting>
  <conditionalFormatting sqref="M46">
    <cfRule type="cellIs" priority="963" operator="equal" aboveAverage="0" equalAverage="0" bottom="0" percent="0" rank="0" text="" dxfId="1986">
      <formula>"В"</formula>
    </cfRule>
  </conditionalFormatting>
  <conditionalFormatting sqref="M46">
    <cfRule type="cellIs" priority="964" operator="greaterThan" aboveAverage="0" equalAverage="0" bottom="0" percent="0" rank="0" text="" dxfId="1987">
      <formula>0</formula>
    </cfRule>
    <cfRule type="expression" priority="965" aboveAverage="0" equalAverage="0" bottom="0" percent="0" rank="0" text="" dxfId="1988">
      <formula>M45&gt;0</formula>
    </cfRule>
  </conditionalFormatting>
  <conditionalFormatting sqref="M47">
    <cfRule type="cellIs" priority="966" operator="equal" aboveAverage="0" equalAverage="0" bottom="0" percent="0" rank="0" text="" dxfId="1989">
      <formula>"В"</formula>
    </cfRule>
  </conditionalFormatting>
  <conditionalFormatting sqref="M47">
    <cfRule type="cellIs" priority="967" operator="greaterThan" aboveAverage="0" equalAverage="0" bottom="0" percent="0" rank="0" text="" dxfId="1990">
      <formula>0</formula>
    </cfRule>
    <cfRule type="expression" priority="968" aboveAverage="0" equalAverage="0" bottom="0" percent="0" rank="0" text="" dxfId="1991">
      <formula>M46&gt;0</formula>
    </cfRule>
  </conditionalFormatting>
  <conditionalFormatting sqref="M48">
    <cfRule type="cellIs" priority="969" operator="equal" aboveAverage="0" equalAverage="0" bottom="0" percent="0" rank="0" text="" dxfId="1992">
      <formula>"В"</formula>
    </cfRule>
  </conditionalFormatting>
  <conditionalFormatting sqref="M48">
    <cfRule type="cellIs" priority="970" operator="greaterThan" aboveAverage="0" equalAverage="0" bottom="0" percent="0" rank="0" text="" dxfId="1993">
      <formula>0</formula>
    </cfRule>
    <cfRule type="expression" priority="971" aboveAverage="0" equalAverage="0" bottom="0" percent="0" rank="0" text="" dxfId="1994">
      <formula>M47&gt;0</formula>
    </cfRule>
  </conditionalFormatting>
  <conditionalFormatting sqref="M49">
    <cfRule type="cellIs" priority="972" operator="equal" aboveAverage="0" equalAverage="0" bottom="0" percent="0" rank="0" text="" dxfId="1995">
      <formula>"В"</formula>
    </cfRule>
  </conditionalFormatting>
  <conditionalFormatting sqref="M49">
    <cfRule type="cellIs" priority="973" operator="greaterThan" aboveAverage="0" equalAverage="0" bottom="0" percent="0" rank="0" text="" dxfId="1996">
      <formula>0</formula>
    </cfRule>
    <cfRule type="expression" priority="974" aboveAverage="0" equalAverage="0" bottom="0" percent="0" rank="0" text="" dxfId="1997">
      <formula>M48&gt;0</formula>
    </cfRule>
  </conditionalFormatting>
  <conditionalFormatting sqref="N22">
    <cfRule type="cellIs" priority="975" operator="equal" aboveAverage="0" equalAverage="0" bottom="0" percent="0" rank="0" text="" dxfId="1998">
      <formula>"В"</formula>
    </cfRule>
  </conditionalFormatting>
  <conditionalFormatting sqref="N22">
    <cfRule type="cellIs" priority="976" operator="greaterThan" aboveAverage="0" equalAverage="0" bottom="0" percent="0" rank="0" text="" dxfId="1999">
      <formula>0</formula>
    </cfRule>
    <cfRule type="expression" priority="977" aboveAverage="0" equalAverage="0" bottom="0" percent="0" rank="0" text="" dxfId="2000">
      <formula>N21&gt;0</formula>
    </cfRule>
  </conditionalFormatting>
  <conditionalFormatting sqref="N23">
    <cfRule type="cellIs" priority="978" operator="equal" aboveAverage="0" equalAverage="0" bottom="0" percent="0" rank="0" text="" dxfId="2001">
      <formula>"В"</formula>
    </cfRule>
  </conditionalFormatting>
  <conditionalFormatting sqref="N23">
    <cfRule type="cellIs" priority="979" operator="greaterThan" aboveAverage="0" equalAverage="0" bottom="0" percent="0" rank="0" text="" dxfId="2002">
      <formula>0</formula>
    </cfRule>
    <cfRule type="expression" priority="980" aboveAverage="0" equalAverage="0" bottom="0" percent="0" rank="0" text="" dxfId="2003">
      <formula>N22&gt;0</formula>
    </cfRule>
  </conditionalFormatting>
  <conditionalFormatting sqref="N24">
    <cfRule type="cellIs" priority="981" operator="equal" aboveAverage="0" equalAverage="0" bottom="0" percent="0" rank="0" text="" dxfId="2004">
      <formula>"В"</formula>
    </cfRule>
  </conditionalFormatting>
  <conditionalFormatting sqref="N24">
    <cfRule type="cellIs" priority="982" operator="greaterThan" aboveAverage="0" equalAverage="0" bottom="0" percent="0" rank="0" text="" dxfId="2005">
      <formula>0</formula>
    </cfRule>
    <cfRule type="expression" priority="983" aboveAverage="0" equalAverage="0" bottom="0" percent="0" rank="0" text="" dxfId="2006">
      <formula>N23&gt;0</formula>
    </cfRule>
  </conditionalFormatting>
  <conditionalFormatting sqref="N25">
    <cfRule type="cellIs" priority="984" operator="equal" aboveAverage="0" equalAverage="0" bottom="0" percent="0" rank="0" text="" dxfId="2007">
      <formula>"В"</formula>
    </cfRule>
  </conditionalFormatting>
  <conditionalFormatting sqref="N25">
    <cfRule type="cellIs" priority="985" operator="greaterThan" aboveAverage="0" equalAverage="0" bottom="0" percent="0" rank="0" text="" dxfId="2008">
      <formula>0</formula>
    </cfRule>
    <cfRule type="expression" priority="986" aboveAverage="0" equalAverage="0" bottom="0" percent="0" rank="0" text="" dxfId="2009">
      <formula>N24&gt;0</formula>
    </cfRule>
  </conditionalFormatting>
  <conditionalFormatting sqref="N26">
    <cfRule type="cellIs" priority="987" operator="equal" aboveAverage="0" equalAverage="0" bottom="0" percent="0" rank="0" text="" dxfId="2010">
      <formula>"В"</formula>
    </cfRule>
  </conditionalFormatting>
  <conditionalFormatting sqref="N26">
    <cfRule type="cellIs" priority="988" operator="greaterThan" aboveAverage="0" equalAverage="0" bottom="0" percent="0" rank="0" text="" dxfId="2011">
      <formula>0</formula>
    </cfRule>
    <cfRule type="expression" priority="989" aboveAverage="0" equalAverage="0" bottom="0" percent="0" rank="0" text="" dxfId="2012">
      <formula>N25&gt;0</formula>
    </cfRule>
  </conditionalFormatting>
  <conditionalFormatting sqref="N27">
    <cfRule type="cellIs" priority="990" operator="equal" aboveAverage="0" equalAverage="0" bottom="0" percent="0" rank="0" text="" dxfId="2013">
      <formula>"В"</formula>
    </cfRule>
  </conditionalFormatting>
  <conditionalFormatting sqref="N27">
    <cfRule type="cellIs" priority="991" operator="greaterThan" aboveAverage="0" equalAverage="0" bottom="0" percent="0" rank="0" text="" dxfId="2014">
      <formula>0</formula>
    </cfRule>
    <cfRule type="expression" priority="992" aboveAverage="0" equalAverage="0" bottom="0" percent="0" rank="0" text="" dxfId="2015">
      <formula>N26&gt;0</formula>
    </cfRule>
  </conditionalFormatting>
  <conditionalFormatting sqref="N28">
    <cfRule type="cellIs" priority="993" operator="equal" aboveAverage="0" equalAverage="0" bottom="0" percent="0" rank="0" text="" dxfId="2016">
      <formula>"В"</formula>
    </cfRule>
  </conditionalFormatting>
  <conditionalFormatting sqref="N28">
    <cfRule type="cellIs" priority="994" operator="greaterThan" aboveAverage="0" equalAverage="0" bottom="0" percent="0" rank="0" text="" dxfId="2017">
      <formula>0</formula>
    </cfRule>
    <cfRule type="expression" priority="995" aboveAverage="0" equalAverage="0" bottom="0" percent="0" rank="0" text="" dxfId="2018">
      <formula>N27&gt;0</formula>
    </cfRule>
  </conditionalFormatting>
  <conditionalFormatting sqref="N29">
    <cfRule type="cellIs" priority="996" operator="equal" aboveAverage="0" equalAverage="0" bottom="0" percent="0" rank="0" text="" dxfId="2019">
      <formula>"В"</formula>
    </cfRule>
  </conditionalFormatting>
  <conditionalFormatting sqref="N29">
    <cfRule type="cellIs" priority="997" operator="greaterThan" aboveAverage="0" equalAverage="0" bottom="0" percent="0" rank="0" text="" dxfId="2020">
      <formula>0</formula>
    </cfRule>
    <cfRule type="expression" priority="998" aboveAverage="0" equalAverage="0" bottom="0" percent="0" rank="0" text="" dxfId="2021">
      <formula>N28&gt;0</formula>
    </cfRule>
  </conditionalFormatting>
  <conditionalFormatting sqref="N30">
    <cfRule type="cellIs" priority="999" operator="equal" aboveAverage="0" equalAverage="0" bottom="0" percent="0" rank="0" text="" dxfId="2022">
      <formula>"В"</formula>
    </cfRule>
  </conditionalFormatting>
  <conditionalFormatting sqref="N30">
    <cfRule type="cellIs" priority="1000" operator="greaterThan" aboveAverage="0" equalAverage="0" bottom="0" percent="0" rank="0" text="" dxfId="2023">
      <formula>0</formula>
    </cfRule>
    <cfRule type="expression" priority="1001" aboveAverage="0" equalAverage="0" bottom="0" percent="0" rank="0" text="" dxfId="2024">
      <formula>N29&gt;0</formula>
    </cfRule>
  </conditionalFormatting>
  <conditionalFormatting sqref="N31">
    <cfRule type="cellIs" priority="1002" operator="equal" aboveAverage="0" equalAverage="0" bottom="0" percent="0" rank="0" text="" dxfId="2025">
      <formula>"В"</formula>
    </cfRule>
  </conditionalFormatting>
  <conditionalFormatting sqref="N31">
    <cfRule type="cellIs" priority="1003" operator="greaterThan" aboveAverage="0" equalAverage="0" bottom="0" percent="0" rank="0" text="" dxfId="2026">
      <formula>0</formula>
    </cfRule>
    <cfRule type="expression" priority="1004" aboveAverage="0" equalAverage="0" bottom="0" percent="0" rank="0" text="" dxfId="2027">
      <formula>N30&gt;0</formula>
    </cfRule>
  </conditionalFormatting>
  <conditionalFormatting sqref="N32">
    <cfRule type="cellIs" priority="1005" operator="equal" aboveAverage="0" equalAverage="0" bottom="0" percent="0" rank="0" text="" dxfId="2028">
      <formula>"В"</formula>
    </cfRule>
  </conditionalFormatting>
  <conditionalFormatting sqref="N32">
    <cfRule type="cellIs" priority="1006" operator="greaterThan" aboveAverage="0" equalAverage="0" bottom="0" percent="0" rank="0" text="" dxfId="2029">
      <formula>0</formula>
    </cfRule>
    <cfRule type="expression" priority="1007" aboveAverage="0" equalAverage="0" bottom="0" percent="0" rank="0" text="" dxfId="2030">
      <formula>N31&gt;0</formula>
    </cfRule>
  </conditionalFormatting>
  <conditionalFormatting sqref="N33">
    <cfRule type="cellIs" priority="1008" operator="equal" aboveAverage="0" equalAverage="0" bottom="0" percent="0" rank="0" text="" dxfId="2031">
      <formula>"В"</formula>
    </cfRule>
  </conditionalFormatting>
  <conditionalFormatting sqref="N33">
    <cfRule type="cellIs" priority="1009" operator="greaterThan" aboveAverage="0" equalAverage="0" bottom="0" percent="0" rank="0" text="" dxfId="2032">
      <formula>0</formula>
    </cfRule>
    <cfRule type="expression" priority="1010" aboveAverage="0" equalAverage="0" bottom="0" percent="0" rank="0" text="" dxfId="2033">
      <formula>N32&gt;0</formula>
    </cfRule>
  </conditionalFormatting>
  <conditionalFormatting sqref="N34">
    <cfRule type="cellIs" priority="1011" operator="equal" aboveAverage="0" equalAverage="0" bottom="0" percent="0" rank="0" text="" dxfId="2034">
      <formula>"В"</formula>
    </cfRule>
  </conditionalFormatting>
  <conditionalFormatting sqref="N34">
    <cfRule type="cellIs" priority="1012" operator="greaterThan" aboveAverage="0" equalAverage="0" bottom="0" percent="0" rank="0" text="" dxfId="2035">
      <formula>0</formula>
    </cfRule>
    <cfRule type="expression" priority="1013" aboveAverage="0" equalAverage="0" bottom="0" percent="0" rank="0" text="" dxfId="2036">
      <formula>N33&gt;0</formula>
    </cfRule>
  </conditionalFormatting>
  <conditionalFormatting sqref="N35">
    <cfRule type="cellIs" priority="1014" operator="equal" aboveAverage="0" equalAverage="0" bottom="0" percent="0" rank="0" text="" dxfId="2037">
      <formula>"В"</formula>
    </cfRule>
  </conditionalFormatting>
  <conditionalFormatting sqref="N35">
    <cfRule type="cellIs" priority="1015" operator="greaterThan" aboveAverage="0" equalAverage="0" bottom="0" percent="0" rank="0" text="" dxfId="2038">
      <formula>0</formula>
    </cfRule>
    <cfRule type="expression" priority="1016" aboveAverage="0" equalAverage="0" bottom="0" percent="0" rank="0" text="" dxfId="2039">
      <formula>N34&gt;0</formula>
    </cfRule>
  </conditionalFormatting>
  <conditionalFormatting sqref="N36">
    <cfRule type="cellIs" priority="1017" operator="equal" aboveAverage="0" equalAverage="0" bottom="0" percent="0" rank="0" text="" dxfId="2040">
      <formula>"В"</formula>
    </cfRule>
  </conditionalFormatting>
  <conditionalFormatting sqref="N36">
    <cfRule type="cellIs" priority="1018" operator="greaterThan" aboveAverage="0" equalAverage="0" bottom="0" percent="0" rank="0" text="" dxfId="2041">
      <formula>0</formula>
    </cfRule>
    <cfRule type="expression" priority="1019" aboveAverage="0" equalAverage="0" bottom="0" percent="0" rank="0" text="" dxfId="2042">
      <formula>N35&gt;0</formula>
    </cfRule>
  </conditionalFormatting>
  <conditionalFormatting sqref="N37">
    <cfRule type="cellIs" priority="1020" operator="equal" aboveAverage="0" equalAverage="0" bottom="0" percent="0" rank="0" text="" dxfId="2043">
      <formula>"В"</formula>
    </cfRule>
  </conditionalFormatting>
  <conditionalFormatting sqref="N37">
    <cfRule type="cellIs" priority="1021" operator="greaterThan" aboveAverage="0" equalAverage="0" bottom="0" percent="0" rank="0" text="" dxfId="2044">
      <formula>0</formula>
    </cfRule>
    <cfRule type="expression" priority="1022" aboveAverage="0" equalAverage="0" bottom="0" percent="0" rank="0" text="" dxfId="2045">
      <formula>N36&gt;0</formula>
    </cfRule>
  </conditionalFormatting>
  <conditionalFormatting sqref="N38">
    <cfRule type="cellIs" priority="1023" operator="equal" aboveAverage="0" equalAverage="0" bottom="0" percent="0" rank="0" text="" dxfId="2046">
      <formula>"В"</formula>
    </cfRule>
  </conditionalFormatting>
  <conditionalFormatting sqref="N38">
    <cfRule type="cellIs" priority="1024" operator="greaterThan" aboveAverage="0" equalAverage="0" bottom="0" percent="0" rank="0" text="" dxfId="2047">
      <formula>0</formula>
    </cfRule>
    <cfRule type="expression" priority="1025" aboveAverage="0" equalAverage="0" bottom="0" percent="0" rank="0" text="" dxfId="2048">
      <formula>N37&gt;0</formula>
    </cfRule>
  </conditionalFormatting>
  <conditionalFormatting sqref="N39">
    <cfRule type="cellIs" priority="1026" operator="equal" aboveAverage="0" equalAverage="0" bottom="0" percent="0" rank="0" text="" dxfId="2049">
      <formula>"В"</formula>
    </cfRule>
  </conditionalFormatting>
  <conditionalFormatting sqref="N39">
    <cfRule type="cellIs" priority="1027" operator="greaterThan" aboveAverage="0" equalAverage="0" bottom="0" percent="0" rank="0" text="" dxfId="2050">
      <formula>0</formula>
    </cfRule>
    <cfRule type="expression" priority="1028" aboveAverage="0" equalAverage="0" bottom="0" percent="0" rank="0" text="" dxfId="2051">
      <formula>N38&gt;0</formula>
    </cfRule>
  </conditionalFormatting>
  <conditionalFormatting sqref="N40">
    <cfRule type="cellIs" priority="1029" operator="equal" aboveAverage="0" equalAverage="0" bottom="0" percent="0" rank="0" text="" dxfId="2052">
      <formula>"В"</formula>
    </cfRule>
  </conditionalFormatting>
  <conditionalFormatting sqref="N40">
    <cfRule type="cellIs" priority="1030" operator="greaterThan" aboveAverage="0" equalAverage="0" bottom="0" percent="0" rank="0" text="" dxfId="2053">
      <formula>0</formula>
    </cfRule>
    <cfRule type="expression" priority="1031" aboveAverage="0" equalAverage="0" bottom="0" percent="0" rank="0" text="" dxfId="2054">
      <formula>N39&gt;0</formula>
    </cfRule>
  </conditionalFormatting>
  <conditionalFormatting sqref="N41">
    <cfRule type="cellIs" priority="1032" operator="equal" aboveAverage="0" equalAverage="0" bottom="0" percent="0" rank="0" text="" dxfId="2055">
      <formula>"В"</formula>
    </cfRule>
  </conditionalFormatting>
  <conditionalFormatting sqref="N41">
    <cfRule type="cellIs" priority="1033" operator="greaterThan" aboveAverage="0" equalAverage="0" bottom="0" percent="0" rank="0" text="" dxfId="2056">
      <formula>0</formula>
    </cfRule>
    <cfRule type="expression" priority="1034" aboveAverage="0" equalAverage="0" bottom="0" percent="0" rank="0" text="" dxfId="2057">
      <formula>N40&gt;0</formula>
    </cfRule>
  </conditionalFormatting>
  <conditionalFormatting sqref="N42">
    <cfRule type="cellIs" priority="1035" operator="equal" aboveAverage="0" equalAverage="0" bottom="0" percent="0" rank="0" text="" dxfId="2058">
      <formula>"В"</formula>
    </cfRule>
  </conditionalFormatting>
  <conditionalFormatting sqref="N42">
    <cfRule type="cellIs" priority="1036" operator="greaterThan" aboveAverage="0" equalAverage="0" bottom="0" percent="0" rank="0" text="" dxfId="2059">
      <formula>0</formula>
    </cfRule>
    <cfRule type="expression" priority="1037" aboveAverage="0" equalAverage="0" bottom="0" percent="0" rank="0" text="" dxfId="2060">
      <formula>N41&gt;0</formula>
    </cfRule>
  </conditionalFormatting>
  <conditionalFormatting sqref="N43">
    <cfRule type="cellIs" priority="1038" operator="equal" aboveAverage="0" equalAverage="0" bottom="0" percent="0" rank="0" text="" dxfId="2061">
      <formula>"В"</formula>
    </cfRule>
  </conditionalFormatting>
  <conditionalFormatting sqref="N43">
    <cfRule type="cellIs" priority="1039" operator="greaterThan" aboveAverage="0" equalAverage="0" bottom="0" percent="0" rank="0" text="" dxfId="2062">
      <formula>0</formula>
    </cfRule>
    <cfRule type="expression" priority="1040" aboveAverage="0" equalAverage="0" bottom="0" percent="0" rank="0" text="" dxfId="2063">
      <formula>N42&gt;0</formula>
    </cfRule>
  </conditionalFormatting>
  <conditionalFormatting sqref="N44">
    <cfRule type="cellIs" priority="1041" operator="equal" aboveAverage="0" equalAverage="0" bottom="0" percent="0" rank="0" text="" dxfId="2064">
      <formula>"В"</formula>
    </cfRule>
  </conditionalFormatting>
  <conditionalFormatting sqref="N44">
    <cfRule type="cellIs" priority="1042" operator="greaterThan" aboveAverage="0" equalAverage="0" bottom="0" percent="0" rank="0" text="" dxfId="2065">
      <formula>0</formula>
    </cfRule>
    <cfRule type="expression" priority="1043" aboveAverage="0" equalAverage="0" bottom="0" percent="0" rank="0" text="" dxfId="2066">
      <formula>N43&gt;0</formula>
    </cfRule>
  </conditionalFormatting>
  <conditionalFormatting sqref="N45">
    <cfRule type="cellIs" priority="1044" operator="equal" aboveAverage="0" equalAverage="0" bottom="0" percent="0" rank="0" text="" dxfId="2067">
      <formula>"В"</formula>
    </cfRule>
  </conditionalFormatting>
  <conditionalFormatting sqref="N45">
    <cfRule type="cellIs" priority="1045" operator="greaterThan" aboveAverage="0" equalAverage="0" bottom="0" percent="0" rank="0" text="" dxfId="2068">
      <formula>0</formula>
    </cfRule>
    <cfRule type="expression" priority="1046" aboveAverage="0" equalAverage="0" bottom="0" percent="0" rank="0" text="" dxfId="2069">
      <formula>N44&gt;0</formula>
    </cfRule>
  </conditionalFormatting>
  <conditionalFormatting sqref="N46">
    <cfRule type="cellIs" priority="1047" operator="equal" aboveAverage="0" equalAverage="0" bottom="0" percent="0" rank="0" text="" dxfId="2070">
      <formula>"В"</formula>
    </cfRule>
  </conditionalFormatting>
  <conditionalFormatting sqref="N46">
    <cfRule type="cellIs" priority="1048" operator="greaterThan" aboveAverage="0" equalAverage="0" bottom="0" percent="0" rank="0" text="" dxfId="2071">
      <formula>0</formula>
    </cfRule>
    <cfRule type="expression" priority="1049" aboveAverage="0" equalAverage="0" bottom="0" percent="0" rank="0" text="" dxfId="2072">
      <formula>N45&gt;0</formula>
    </cfRule>
  </conditionalFormatting>
  <conditionalFormatting sqref="N47">
    <cfRule type="cellIs" priority="1050" operator="equal" aboveAverage="0" equalAverage="0" bottom="0" percent="0" rank="0" text="" dxfId="2073">
      <formula>"В"</formula>
    </cfRule>
  </conditionalFormatting>
  <conditionalFormatting sqref="N47">
    <cfRule type="cellIs" priority="1051" operator="greaterThan" aboveAverage="0" equalAverage="0" bottom="0" percent="0" rank="0" text="" dxfId="2074">
      <formula>0</formula>
    </cfRule>
    <cfRule type="expression" priority="1052" aboveAverage="0" equalAverage="0" bottom="0" percent="0" rank="0" text="" dxfId="2075">
      <formula>N46&gt;0</formula>
    </cfRule>
  </conditionalFormatting>
  <conditionalFormatting sqref="N48">
    <cfRule type="cellIs" priority="1053" operator="equal" aboveAverage="0" equalAverage="0" bottom="0" percent="0" rank="0" text="" dxfId="2076">
      <formula>"В"</formula>
    </cfRule>
  </conditionalFormatting>
  <conditionalFormatting sqref="N48">
    <cfRule type="cellIs" priority="1054" operator="greaterThan" aboveAverage="0" equalAverage="0" bottom="0" percent="0" rank="0" text="" dxfId="2077">
      <formula>0</formula>
    </cfRule>
    <cfRule type="expression" priority="1055" aboveAverage="0" equalAverage="0" bottom="0" percent="0" rank="0" text="" dxfId="2078">
      <formula>N47&gt;0</formula>
    </cfRule>
  </conditionalFormatting>
  <conditionalFormatting sqref="N49">
    <cfRule type="cellIs" priority="1056" operator="equal" aboveAverage="0" equalAverage="0" bottom="0" percent="0" rank="0" text="" dxfId="2079">
      <formula>"В"</formula>
    </cfRule>
  </conditionalFormatting>
  <conditionalFormatting sqref="N49">
    <cfRule type="cellIs" priority="1057" operator="greaterThan" aboveAverage="0" equalAverage="0" bottom="0" percent="0" rank="0" text="" dxfId="2080">
      <formula>0</formula>
    </cfRule>
    <cfRule type="expression" priority="1058" aboveAverage="0" equalAverage="0" bottom="0" percent="0" rank="0" text="" dxfId="2081">
      <formula>N48&gt;0</formula>
    </cfRule>
  </conditionalFormatting>
  <conditionalFormatting sqref="O22">
    <cfRule type="cellIs" priority="1059" operator="equal" aboveAverage="0" equalAverage="0" bottom="0" percent="0" rank="0" text="" dxfId="2082">
      <formula>"В"</formula>
    </cfRule>
  </conditionalFormatting>
  <conditionalFormatting sqref="O22">
    <cfRule type="cellIs" priority="1060" operator="greaterThan" aboveAverage="0" equalAverage="0" bottom="0" percent="0" rank="0" text="" dxfId="2083">
      <formula>0</formula>
    </cfRule>
    <cfRule type="expression" priority="1061" aboveAverage="0" equalAverage="0" bottom="0" percent="0" rank="0" text="" dxfId="2084">
      <formula>O21&gt;0</formula>
    </cfRule>
  </conditionalFormatting>
  <conditionalFormatting sqref="O23">
    <cfRule type="cellIs" priority="1062" operator="equal" aboveAverage="0" equalAverage="0" bottom="0" percent="0" rank="0" text="" dxfId="2085">
      <formula>"В"</formula>
    </cfRule>
  </conditionalFormatting>
  <conditionalFormatting sqref="O23">
    <cfRule type="cellIs" priority="1063" operator="greaterThan" aboveAverage="0" equalAverage="0" bottom="0" percent="0" rank="0" text="" dxfId="2086">
      <formula>0</formula>
    </cfRule>
    <cfRule type="expression" priority="1064" aboveAverage="0" equalAverage="0" bottom="0" percent="0" rank="0" text="" dxfId="2087">
      <formula>O22&gt;0</formula>
    </cfRule>
  </conditionalFormatting>
  <conditionalFormatting sqref="O24">
    <cfRule type="cellIs" priority="1065" operator="equal" aboveAverage="0" equalAverage="0" bottom="0" percent="0" rank="0" text="" dxfId="2088">
      <formula>"В"</formula>
    </cfRule>
  </conditionalFormatting>
  <conditionalFormatting sqref="O24">
    <cfRule type="cellIs" priority="1066" operator="greaterThan" aboveAverage="0" equalAverage="0" bottom="0" percent="0" rank="0" text="" dxfId="2089">
      <formula>0</formula>
    </cfRule>
    <cfRule type="expression" priority="1067" aboveAverage="0" equalAverage="0" bottom="0" percent="0" rank="0" text="" dxfId="2090">
      <formula>O23&gt;0</formula>
    </cfRule>
  </conditionalFormatting>
  <conditionalFormatting sqref="O25">
    <cfRule type="cellIs" priority="1068" operator="equal" aboveAverage="0" equalAverage="0" bottom="0" percent="0" rank="0" text="" dxfId="2091">
      <formula>"В"</formula>
    </cfRule>
  </conditionalFormatting>
  <conditionalFormatting sqref="O25">
    <cfRule type="cellIs" priority="1069" operator="greaterThan" aboveAverage="0" equalAverage="0" bottom="0" percent="0" rank="0" text="" dxfId="2092">
      <formula>0</formula>
    </cfRule>
    <cfRule type="expression" priority="1070" aboveAverage="0" equalAverage="0" bottom="0" percent="0" rank="0" text="" dxfId="2093">
      <formula>O24&gt;0</formula>
    </cfRule>
  </conditionalFormatting>
  <conditionalFormatting sqref="O26">
    <cfRule type="cellIs" priority="1071" operator="equal" aboveAverage="0" equalAverage="0" bottom="0" percent="0" rank="0" text="" dxfId="2094">
      <formula>"В"</formula>
    </cfRule>
  </conditionalFormatting>
  <conditionalFormatting sqref="O26">
    <cfRule type="cellIs" priority="1072" operator="greaterThan" aboveAverage="0" equalAverage="0" bottom="0" percent="0" rank="0" text="" dxfId="2095">
      <formula>0</formula>
    </cfRule>
    <cfRule type="expression" priority="1073" aboveAverage="0" equalAverage="0" bottom="0" percent="0" rank="0" text="" dxfId="2096">
      <formula>O25&gt;0</formula>
    </cfRule>
  </conditionalFormatting>
  <conditionalFormatting sqref="O27">
    <cfRule type="cellIs" priority="1074" operator="equal" aboveAverage="0" equalAverage="0" bottom="0" percent="0" rank="0" text="" dxfId="2097">
      <formula>"В"</formula>
    </cfRule>
  </conditionalFormatting>
  <conditionalFormatting sqref="O27">
    <cfRule type="cellIs" priority="1075" operator="greaterThan" aboveAverage="0" equalAverage="0" bottom="0" percent="0" rank="0" text="" dxfId="2098">
      <formula>0</formula>
    </cfRule>
    <cfRule type="expression" priority="1076" aboveAverage="0" equalAverage="0" bottom="0" percent="0" rank="0" text="" dxfId="2099">
      <formula>O26&gt;0</formula>
    </cfRule>
  </conditionalFormatting>
  <conditionalFormatting sqref="O28">
    <cfRule type="cellIs" priority="1077" operator="equal" aboveAverage="0" equalAverage="0" bottom="0" percent="0" rank="0" text="" dxfId="2100">
      <formula>"В"</formula>
    </cfRule>
  </conditionalFormatting>
  <conditionalFormatting sqref="O28">
    <cfRule type="cellIs" priority="1078" operator="greaterThan" aboveAverage="0" equalAverage="0" bottom="0" percent="0" rank="0" text="" dxfId="2101">
      <formula>0</formula>
    </cfRule>
    <cfRule type="expression" priority="1079" aboveAverage="0" equalAverage="0" bottom="0" percent="0" rank="0" text="" dxfId="2102">
      <formula>O27&gt;0</formula>
    </cfRule>
  </conditionalFormatting>
  <conditionalFormatting sqref="O29">
    <cfRule type="cellIs" priority="1080" operator="equal" aboveAverage="0" equalAverage="0" bottom="0" percent="0" rank="0" text="" dxfId="2103">
      <formula>"В"</formula>
    </cfRule>
  </conditionalFormatting>
  <conditionalFormatting sqref="O29">
    <cfRule type="cellIs" priority="1081" operator="greaterThan" aboveAverage="0" equalAverage="0" bottom="0" percent="0" rank="0" text="" dxfId="2104">
      <formula>0</formula>
    </cfRule>
    <cfRule type="expression" priority="1082" aboveAverage="0" equalAverage="0" bottom="0" percent="0" rank="0" text="" dxfId="2105">
      <formula>O28&gt;0</formula>
    </cfRule>
  </conditionalFormatting>
  <conditionalFormatting sqref="O30">
    <cfRule type="cellIs" priority="1083" operator="equal" aboveAverage="0" equalAverage="0" bottom="0" percent="0" rank="0" text="" dxfId="2106">
      <formula>"В"</formula>
    </cfRule>
  </conditionalFormatting>
  <conditionalFormatting sqref="O30">
    <cfRule type="cellIs" priority="1084" operator="greaterThan" aboveAverage="0" equalAverage="0" bottom="0" percent="0" rank="0" text="" dxfId="2107">
      <formula>0</formula>
    </cfRule>
    <cfRule type="expression" priority="1085" aboveAverage="0" equalAverage="0" bottom="0" percent="0" rank="0" text="" dxfId="2108">
      <formula>O29&gt;0</formula>
    </cfRule>
  </conditionalFormatting>
  <conditionalFormatting sqref="O31">
    <cfRule type="cellIs" priority="1086" operator="equal" aboveAverage="0" equalAverage="0" bottom="0" percent="0" rank="0" text="" dxfId="2109">
      <formula>"В"</formula>
    </cfRule>
  </conditionalFormatting>
  <conditionalFormatting sqref="O31">
    <cfRule type="cellIs" priority="1087" operator="greaterThan" aboveAverage="0" equalAverage="0" bottom="0" percent="0" rank="0" text="" dxfId="2110">
      <formula>0</formula>
    </cfRule>
    <cfRule type="expression" priority="1088" aboveAverage="0" equalAverage="0" bottom="0" percent="0" rank="0" text="" dxfId="2111">
      <formula>O30&gt;0</formula>
    </cfRule>
  </conditionalFormatting>
  <conditionalFormatting sqref="O32">
    <cfRule type="cellIs" priority="1089" operator="equal" aboveAverage="0" equalAverage="0" bottom="0" percent="0" rank="0" text="" dxfId="2112">
      <formula>"В"</formula>
    </cfRule>
  </conditionalFormatting>
  <conditionalFormatting sqref="O32">
    <cfRule type="cellIs" priority="1090" operator="greaterThan" aboveAverage="0" equalAverage="0" bottom="0" percent="0" rank="0" text="" dxfId="2113">
      <formula>0</formula>
    </cfRule>
    <cfRule type="expression" priority="1091" aboveAverage="0" equalAverage="0" bottom="0" percent="0" rank="0" text="" dxfId="2114">
      <formula>O31&gt;0</formula>
    </cfRule>
  </conditionalFormatting>
  <conditionalFormatting sqref="O33">
    <cfRule type="cellIs" priority="1092" operator="equal" aboveAverage="0" equalAverage="0" bottom="0" percent="0" rank="0" text="" dxfId="2115">
      <formula>"В"</formula>
    </cfRule>
  </conditionalFormatting>
  <conditionalFormatting sqref="O33">
    <cfRule type="cellIs" priority="1093" operator="greaterThan" aboveAverage="0" equalAverage="0" bottom="0" percent="0" rank="0" text="" dxfId="2116">
      <formula>0</formula>
    </cfRule>
    <cfRule type="expression" priority="1094" aboveAverage="0" equalAverage="0" bottom="0" percent="0" rank="0" text="" dxfId="2117">
      <formula>O32&gt;0</formula>
    </cfRule>
  </conditionalFormatting>
  <conditionalFormatting sqref="O34">
    <cfRule type="cellIs" priority="1095" operator="equal" aboveAverage="0" equalAverage="0" bottom="0" percent="0" rank="0" text="" dxfId="2118">
      <formula>"В"</formula>
    </cfRule>
  </conditionalFormatting>
  <conditionalFormatting sqref="O34">
    <cfRule type="cellIs" priority="1096" operator="greaterThan" aboveAverage="0" equalAverage="0" bottom="0" percent="0" rank="0" text="" dxfId="2119">
      <formula>0</formula>
    </cfRule>
    <cfRule type="expression" priority="1097" aboveAverage="0" equalAverage="0" bottom="0" percent="0" rank="0" text="" dxfId="2120">
      <formula>O33&gt;0</formula>
    </cfRule>
  </conditionalFormatting>
  <conditionalFormatting sqref="O35">
    <cfRule type="cellIs" priority="1098" operator="equal" aboveAverage="0" equalAverage="0" bottom="0" percent="0" rank="0" text="" dxfId="2121">
      <formula>"В"</formula>
    </cfRule>
  </conditionalFormatting>
  <conditionalFormatting sqref="O35">
    <cfRule type="cellIs" priority="1099" operator="greaterThan" aboveAverage="0" equalAverage="0" bottom="0" percent="0" rank="0" text="" dxfId="2122">
      <formula>0</formula>
    </cfRule>
    <cfRule type="expression" priority="1100" aboveAverage="0" equalAverage="0" bottom="0" percent="0" rank="0" text="" dxfId="2123">
      <formula>O34&gt;0</formula>
    </cfRule>
  </conditionalFormatting>
  <conditionalFormatting sqref="O36">
    <cfRule type="cellIs" priority="1101" operator="equal" aboveAverage="0" equalAverage="0" bottom="0" percent="0" rank="0" text="" dxfId="2124">
      <formula>"В"</formula>
    </cfRule>
  </conditionalFormatting>
  <conditionalFormatting sqref="O36">
    <cfRule type="cellIs" priority="1102" operator="greaterThan" aboveAverage="0" equalAverage="0" bottom="0" percent="0" rank="0" text="" dxfId="2125">
      <formula>0</formula>
    </cfRule>
    <cfRule type="expression" priority="1103" aboveAverage="0" equalAverage="0" bottom="0" percent="0" rank="0" text="" dxfId="2126">
      <formula>O35&gt;0</formula>
    </cfRule>
  </conditionalFormatting>
  <conditionalFormatting sqref="O37">
    <cfRule type="cellIs" priority="1104" operator="equal" aboveAverage="0" equalAverage="0" bottom="0" percent="0" rank="0" text="" dxfId="2127">
      <formula>"В"</formula>
    </cfRule>
  </conditionalFormatting>
  <conditionalFormatting sqref="O37">
    <cfRule type="cellIs" priority="1105" operator="greaterThan" aboveAverage="0" equalAverage="0" bottom="0" percent="0" rank="0" text="" dxfId="2128">
      <formula>0</formula>
    </cfRule>
    <cfRule type="expression" priority="1106" aboveAverage="0" equalAverage="0" bottom="0" percent="0" rank="0" text="" dxfId="2129">
      <formula>O36&gt;0</formula>
    </cfRule>
  </conditionalFormatting>
  <conditionalFormatting sqref="O38">
    <cfRule type="cellIs" priority="1107" operator="equal" aboveAverage="0" equalAverage="0" bottom="0" percent="0" rank="0" text="" dxfId="2130">
      <formula>"В"</formula>
    </cfRule>
  </conditionalFormatting>
  <conditionalFormatting sqref="O38">
    <cfRule type="cellIs" priority="1108" operator="greaterThan" aboveAverage="0" equalAverage="0" bottom="0" percent="0" rank="0" text="" dxfId="2131">
      <formula>0</formula>
    </cfRule>
    <cfRule type="expression" priority="1109" aboveAverage="0" equalAverage="0" bottom="0" percent="0" rank="0" text="" dxfId="2132">
      <formula>O37&gt;0</formula>
    </cfRule>
  </conditionalFormatting>
  <conditionalFormatting sqref="O39">
    <cfRule type="cellIs" priority="1110" operator="equal" aboveAverage="0" equalAverage="0" bottom="0" percent="0" rank="0" text="" dxfId="2133">
      <formula>"В"</formula>
    </cfRule>
  </conditionalFormatting>
  <conditionalFormatting sqref="O39">
    <cfRule type="cellIs" priority="1111" operator="greaterThan" aboveAverage="0" equalAverage="0" bottom="0" percent="0" rank="0" text="" dxfId="2134">
      <formula>0</formula>
    </cfRule>
    <cfRule type="expression" priority="1112" aboveAverage="0" equalAverage="0" bottom="0" percent="0" rank="0" text="" dxfId="2135">
      <formula>O38&gt;0</formula>
    </cfRule>
  </conditionalFormatting>
  <conditionalFormatting sqref="O40">
    <cfRule type="cellIs" priority="1113" operator="equal" aboveAverage="0" equalAverage="0" bottom="0" percent="0" rank="0" text="" dxfId="2136">
      <formula>"В"</formula>
    </cfRule>
  </conditionalFormatting>
  <conditionalFormatting sqref="O40">
    <cfRule type="cellIs" priority="1114" operator="greaterThan" aboveAverage="0" equalAverage="0" bottom="0" percent="0" rank="0" text="" dxfId="2137">
      <formula>0</formula>
    </cfRule>
    <cfRule type="expression" priority="1115" aboveAverage="0" equalAverage="0" bottom="0" percent="0" rank="0" text="" dxfId="2138">
      <formula>O39&gt;0</formula>
    </cfRule>
  </conditionalFormatting>
  <conditionalFormatting sqref="O41">
    <cfRule type="cellIs" priority="1116" operator="equal" aboveAverage="0" equalAverage="0" bottom="0" percent="0" rank="0" text="" dxfId="2139">
      <formula>"В"</formula>
    </cfRule>
  </conditionalFormatting>
  <conditionalFormatting sqref="O41">
    <cfRule type="cellIs" priority="1117" operator="greaterThan" aboveAverage="0" equalAverage="0" bottom="0" percent="0" rank="0" text="" dxfId="2140">
      <formula>0</formula>
    </cfRule>
    <cfRule type="expression" priority="1118" aboveAverage="0" equalAverage="0" bottom="0" percent="0" rank="0" text="" dxfId="2141">
      <formula>O40&gt;0</formula>
    </cfRule>
  </conditionalFormatting>
  <conditionalFormatting sqref="O42">
    <cfRule type="cellIs" priority="1119" operator="equal" aboveAverage="0" equalAverage="0" bottom="0" percent="0" rank="0" text="" dxfId="2142">
      <formula>"В"</formula>
    </cfRule>
  </conditionalFormatting>
  <conditionalFormatting sqref="O42">
    <cfRule type="cellIs" priority="1120" operator="greaterThan" aboveAverage="0" equalAverage="0" bottom="0" percent="0" rank="0" text="" dxfId="2143">
      <formula>0</formula>
    </cfRule>
    <cfRule type="expression" priority="1121" aboveAverage="0" equalAverage="0" bottom="0" percent="0" rank="0" text="" dxfId="2144">
      <formula>O41&gt;0</formula>
    </cfRule>
  </conditionalFormatting>
  <conditionalFormatting sqref="O43">
    <cfRule type="cellIs" priority="1122" operator="equal" aboveAverage="0" equalAverage="0" bottom="0" percent="0" rank="0" text="" dxfId="2145">
      <formula>"В"</formula>
    </cfRule>
  </conditionalFormatting>
  <conditionalFormatting sqref="O43">
    <cfRule type="cellIs" priority="1123" operator="greaterThan" aboveAverage="0" equalAverage="0" bottom="0" percent="0" rank="0" text="" dxfId="2146">
      <formula>0</formula>
    </cfRule>
    <cfRule type="expression" priority="1124" aboveAverage="0" equalAverage="0" bottom="0" percent="0" rank="0" text="" dxfId="2147">
      <formula>O42&gt;0</formula>
    </cfRule>
  </conditionalFormatting>
  <conditionalFormatting sqref="O44">
    <cfRule type="cellIs" priority="1125" operator="equal" aboveAverage="0" equalAverage="0" bottom="0" percent="0" rank="0" text="" dxfId="2148">
      <formula>"В"</formula>
    </cfRule>
  </conditionalFormatting>
  <conditionalFormatting sqref="O44">
    <cfRule type="cellIs" priority="1126" operator="greaterThan" aboveAverage="0" equalAverage="0" bottom="0" percent="0" rank="0" text="" dxfId="2149">
      <formula>0</formula>
    </cfRule>
    <cfRule type="expression" priority="1127" aboveAverage="0" equalAverage="0" bottom="0" percent="0" rank="0" text="" dxfId="2150">
      <formula>O43&gt;0</formula>
    </cfRule>
  </conditionalFormatting>
  <conditionalFormatting sqref="O45">
    <cfRule type="cellIs" priority="1128" operator="equal" aboveAverage="0" equalAverage="0" bottom="0" percent="0" rank="0" text="" dxfId="2151">
      <formula>"В"</formula>
    </cfRule>
  </conditionalFormatting>
  <conditionalFormatting sqref="O45">
    <cfRule type="cellIs" priority="1129" operator="greaterThan" aboveAverage="0" equalAverage="0" bottom="0" percent="0" rank="0" text="" dxfId="2152">
      <formula>0</formula>
    </cfRule>
    <cfRule type="expression" priority="1130" aboveAverage="0" equalAverage="0" bottom="0" percent="0" rank="0" text="" dxfId="2153">
      <formula>O44&gt;0</formula>
    </cfRule>
  </conditionalFormatting>
  <conditionalFormatting sqref="O46">
    <cfRule type="cellIs" priority="1131" operator="equal" aboveAverage="0" equalAverage="0" bottom="0" percent="0" rank="0" text="" dxfId="2154">
      <formula>"В"</formula>
    </cfRule>
  </conditionalFormatting>
  <conditionalFormatting sqref="O46">
    <cfRule type="cellIs" priority="1132" operator="greaterThan" aboveAverage="0" equalAverage="0" bottom="0" percent="0" rank="0" text="" dxfId="2155">
      <formula>0</formula>
    </cfRule>
    <cfRule type="expression" priority="1133" aboveAverage="0" equalAverage="0" bottom="0" percent="0" rank="0" text="" dxfId="2156">
      <formula>O45&gt;0</formula>
    </cfRule>
  </conditionalFormatting>
  <conditionalFormatting sqref="O47">
    <cfRule type="cellIs" priority="1134" operator="equal" aboveAverage="0" equalAverage="0" bottom="0" percent="0" rank="0" text="" dxfId="2157">
      <formula>"В"</formula>
    </cfRule>
  </conditionalFormatting>
  <conditionalFormatting sqref="O47">
    <cfRule type="cellIs" priority="1135" operator="greaterThan" aboveAverage="0" equalAverage="0" bottom="0" percent="0" rank="0" text="" dxfId="2158">
      <formula>0</formula>
    </cfRule>
    <cfRule type="expression" priority="1136" aboveAverage="0" equalAverage="0" bottom="0" percent="0" rank="0" text="" dxfId="2159">
      <formula>O46&gt;0</formula>
    </cfRule>
  </conditionalFormatting>
  <conditionalFormatting sqref="O48">
    <cfRule type="cellIs" priority="1137" operator="equal" aboveAverage="0" equalAverage="0" bottom="0" percent="0" rank="0" text="" dxfId="2160">
      <formula>"В"</formula>
    </cfRule>
  </conditionalFormatting>
  <conditionalFormatting sqref="O48">
    <cfRule type="cellIs" priority="1138" operator="greaterThan" aboveAverage="0" equalAverage="0" bottom="0" percent="0" rank="0" text="" dxfId="2161">
      <formula>0</formula>
    </cfRule>
    <cfRule type="expression" priority="1139" aboveAverage="0" equalAverage="0" bottom="0" percent="0" rank="0" text="" dxfId="2162">
      <formula>O47&gt;0</formula>
    </cfRule>
  </conditionalFormatting>
  <conditionalFormatting sqref="O49">
    <cfRule type="cellIs" priority="1140" operator="equal" aboveAverage="0" equalAverage="0" bottom="0" percent="0" rank="0" text="" dxfId="2163">
      <formula>"В"</formula>
    </cfRule>
  </conditionalFormatting>
  <conditionalFormatting sqref="O49">
    <cfRule type="cellIs" priority="1141" operator="greaterThan" aboveAverage="0" equalAverage="0" bottom="0" percent="0" rank="0" text="" dxfId="2164">
      <formula>0</formula>
    </cfRule>
    <cfRule type="expression" priority="1142" aboveAverage="0" equalAverage="0" bottom="0" percent="0" rank="0" text="" dxfId="2165">
      <formula>O48&gt;0</formula>
    </cfRule>
  </conditionalFormatting>
  <conditionalFormatting sqref="P22">
    <cfRule type="cellIs" priority="1143" operator="equal" aboveAverage="0" equalAverage="0" bottom="0" percent="0" rank="0" text="" dxfId="2166">
      <formula>"В"</formula>
    </cfRule>
  </conditionalFormatting>
  <conditionalFormatting sqref="P22">
    <cfRule type="cellIs" priority="1144" operator="greaterThan" aboveAverage="0" equalAverage="0" bottom="0" percent="0" rank="0" text="" dxfId="2167">
      <formula>0</formula>
    </cfRule>
    <cfRule type="expression" priority="1145" aboveAverage="0" equalAverage="0" bottom="0" percent="0" rank="0" text="" dxfId="2168">
      <formula>P21&gt;0</formula>
    </cfRule>
  </conditionalFormatting>
  <conditionalFormatting sqref="P23">
    <cfRule type="cellIs" priority="1146" operator="equal" aboveAverage="0" equalAverage="0" bottom="0" percent="0" rank="0" text="" dxfId="2169">
      <formula>"В"</formula>
    </cfRule>
  </conditionalFormatting>
  <conditionalFormatting sqref="P23">
    <cfRule type="cellIs" priority="1147" operator="greaterThan" aboveAverage="0" equalAverage="0" bottom="0" percent="0" rank="0" text="" dxfId="2170">
      <formula>0</formula>
    </cfRule>
    <cfRule type="expression" priority="1148" aboveAverage="0" equalAverage="0" bottom="0" percent="0" rank="0" text="" dxfId="2171">
      <formula>P22&gt;0</formula>
    </cfRule>
  </conditionalFormatting>
  <conditionalFormatting sqref="P24">
    <cfRule type="cellIs" priority="1149" operator="equal" aboveAverage="0" equalAverage="0" bottom="0" percent="0" rank="0" text="" dxfId="2172">
      <formula>"В"</formula>
    </cfRule>
  </conditionalFormatting>
  <conditionalFormatting sqref="P24">
    <cfRule type="cellIs" priority="1150" operator="greaterThan" aboveAverage="0" equalAverage="0" bottom="0" percent="0" rank="0" text="" dxfId="2173">
      <formula>0</formula>
    </cfRule>
    <cfRule type="expression" priority="1151" aboveAverage="0" equalAverage="0" bottom="0" percent="0" rank="0" text="" dxfId="2174">
      <formula>P23&gt;0</formula>
    </cfRule>
  </conditionalFormatting>
  <conditionalFormatting sqref="P25">
    <cfRule type="cellIs" priority="1152" operator="equal" aboveAverage="0" equalAverage="0" bottom="0" percent="0" rank="0" text="" dxfId="2175">
      <formula>"В"</formula>
    </cfRule>
  </conditionalFormatting>
  <conditionalFormatting sqref="P25">
    <cfRule type="cellIs" priority="1153" operator="greaterThan" aboveAverage="0" equalAverage="0" bottom="0" percent="0" rank="0" text="" dxfId="2176">
      <formula>0</formula>
    </cfRule>
    <cfRule type="expression" priority="1154" aboveAverage="0" equalAverage="0" bottom="0" percent="0" rank="0" text="" dxfId="2177">
      <formula>P24&gt;0</formula>
    </cfRule>
  </conditionalFormatting>
  <conditionalFormatting sqref="P26">
    <cfRule type="cellIs" priority="1155" operator="equal" aboveAverage="0" equalAverage="0" bottom="0" percent="0" rank="0" text="" dxfId="2178">
      <formula>"В"</formula>
    </cfRule>
  </conditionalFormatting>
  <conditionalFormatting sqref="P26">
    <cfRule type="cellIs" priority="1156" operator="greaterThan" aboveAverage="0" equalAverage="0" bottom="0" percent="0" rank="0" text="" dxfId="2179">
      <formula>0</formula>
    </cfRule>
    <cfRule type="expression" priority="1157" aboveAverage="0" equalAverage="0" bottom="0" percent="0" rank="0" text="" dxfId="2180">
      <formula>P25&gt;0</formula>
    </cfRule>
  </conditionalFormatting>
  <conditionalFormatting sqref="P27">
    <cfRule type="cellIs" priority="1158" operator="equal" aboveAverage="0" equalAverage="0" bottom="0" percent="0" rank="0" text="" dxfId="2181">
      <formula>"В"</formula>
    </cfRule>
  </conditionalFormatting>
  <conditionalFormatting sqref="P27">
    <cfRule type="cellIs" priority="1159" operator="greaterThan" aboveAverage="0" equalAverage="0" bottom="0" percent="0" rank="0" text="" dxfId="2182">
      <formula>0</formula>
    </cfRule>
    <cfRule type="expression" priority="1160" aboveAverage="0" equalAverage="0" bottom="0" percent="0" rank="0" text="" dxfId="2183">
      <formula>P26&gt;0</formula>
    </cfRule>
  </conditionalFormatting>
  <conditionalFormatting sqref="P28">
    <cfRule type="cellIs" priority="1161" operator="equal" aboveAverage="0" equalAverage="0" bottom="0" percent="0" rank="0" text="" dxfId="2184">
      <formula>"В"</formula>
    </cfRule>
  </conditionalFormatting>
  <conditionalFormatting sqref="P28">
    <cfRule type="cellIs" priority="1162" operator="greaterThan" aboveAverage="0" equalAverage="0" bottom="0" percent="0" rank="0" text="" dxfId="2185">
      <formula>0</formula>
    </cfRule>
    <cfRule type="expression" priority="1163" aboveAverage="0" equalAverage="0" bottom="0" percent="0" rank="0" text="" dxfId="2186">
      <formula>P27&gt;0</formula>
    </cfRule>
  </conditionalFormatting>
  <conditionalFormatting sqref="P29">
    <cfRule type="cellIs" priority="1164" operator="equal" aboveAverage="0" equalAverage="0" bottom="0" percent="0" rank="0" text="" dxfId="2187">
      <formula>"В"</formula>
    </cfRule>
  </conditionalFormatting>
  <conditionalFormatting sqref="P29">
    <cfRule type="cellIs" priority="1165" operator="greaterThan" aboveAverage="0" equalAverage="0" bottom="0" percent="0" rank="0" text="" dxfId="2188">
      <formula>0</formula>
    </cfRule>
    <cfRule type="expression" priority="1166" aboveAverage="0" equalAverage="0" bottom="0" percent="0" rank="0" text="" dxfId="2189">
      <formula>P28&gt;0</formula>
    </cfRule>
  </conditionalFormatting>
  <conditionalFormatting sqref="P30">
    <cfRule type="cellIs" priority="1167" operator="equal" aboveAverage="0" equalAverage="0" bottom="0" percent="0" rank="0" text="" dxfId="2190">
      <formula>"В"</formula>
    </cfRule>
  </conditionalFormatting>
  <conditionalFormatting sqref="P30">
    <cfRule type="cellIs" priority="1168" operator="greaterThan" aboveAverage="0" equalAverage="0" bottom="0" percent="0" rank="0" text="" dxfId="2191">
      <formula>0</formula>
    </cfRule>
    <cfRule type="expression" priority="1169" aboveAverage="0" equalAverage="0" bottom="0" percent="0" rank="0" text="" dxfId="2192">
      <formula>P29&gt;0</formula>
    </cfRule>
  </conditionalFormatting>
  <conditionalFormatting sqref="P31">
    <cfRule type="cellIs" priority="1170" operator="equal" aboveAverage="0" equalAverage="0" bottom="0" percent="0" rank="0" text="" dxfId="2193">
      <formula>"В"</formula>
    </cfRule>
  </conditionalFormatting>
  <conditionalFormatting sqref="P31">
    <cfRule type="cellIs" priority="1171" operator="greaterThan" aboveAverage="0" equalAverage="0" bottom="0" percent="0" rank="0" text="" dxfId="2194">
      <formula>0</formula>
    </cfRule>
    <cfRule type="expression" priority="1172" aboveAverage="0" equalAverage="0" bottom="0" percent="0" rank="0" text="" dxfId="2195">
      <formula>P30&gt;0</formula>
    </cfRule>
  </conditionalFormatting>
  <conditionalFormatting sqref="P32">
    <cfRule type="cellIs" priority="1173" operator="equal" aboveAverage="0" equalAverage="0" bottom="0" percent="0" rank="0" text="" dxfId="2196">
      <formula>"В"</formula>
    </cfRule>
  </conditionalFormatting>
  <conditionalFormatting sqref="P32">
    <cfRule type="cellIs" priority="1174" operator="greaterThan" aboveAverage="0" equalAverage="0" bottom="0" percent="0" rank="0" text="" dxfId="2197">
      <formula>0</formula>
    </cfRule>
    <cfRule type="expression" priority="1175" aboveAverage="0" equalAverage="0" bottom="0" percent="0" rank="0" text="" dxfId="2198">
      <formula>P31&gt;0</formula>
    </cfRule>
  </conditionalFormatting>
  <conditionalFormatting sqref="P33">
    <cfRule type="cellIs" priority="1176" operator="equal" aboveAverage="0" equalAverage="0" bottom="0" percent="0" rank="0" text="" dxfId="2199">
      <formula>"В"</formula>
    </cfRule>
  </conditionalFormatting>
  <conditionalFormatting sqref="P33">
    <cfRule type="cellIs" priority="1177" operator="greaterThan" aboveAverage="0" equalAverage="0" bottom="0" percent="0" rank="0" text="" dxfId="2200">
      <formula>0</formula>
    </cfRule>
    <cfRule type="expression" priority="1178" aboveAverage="0" equalAverage="0" bottom="0" percent="0" rank="0" text="" dxfId="2201">
      <formula>P32&gt;0</formula>
    </cfRule>
  </conditionalFormatting>
  <conditionalFormatting sqref="P34">
    <cfRule type="cellIs" priority="1179" operator="equal" aboveAverage="0" equalAverage="0" bottom="0" percent="0" rank="0" text="" dxfId="2202">
      <formula>"В"</formula>
    </cfRule>
  </conditionalFormatting>
  <conditionalFormatting sqref="P34">
    <cfRule type="cellIs" priority="1180" operator="greaterThan" aboveAverage="0" equalAverage="0" bottom="0" percent="0" rank="0" text="" dxfId="2203">
      <formula>0</formula>
    </cfRule>
    <cfRule type="expression" priority="1181" aboveAverage="0" equalAverage="0" bottom="0" percent="0" rank="0" text="" dxfId="2204">
      <formula>P33&gt;0</formula>
    </cfRule>
  </conditionalFormatting>
  <conditionalFormatting sqref="P35">
    <cfRule type="cellIs" priority="1182" operator="equal" aboveAverage="0" equalAverage="0" bottom="0" percent="0" rank="0" text="" dxfId="2205">
      <formula>"В"</formula>
    </cfRule>
  </conditionalFormatting>
  <conditionalFormatting sqref="P35">
    <cfRule type="cellIs" priority="1183" operator="greaterThan" aboveAverage="0" equalAverage="0" bottom="0" percent="0" rank="0" text="" dxfId="2206">
      <formula>0</formula>
    </cfRule>
    <cfRule type="expression" priority="1184" aboveAverage="0" equalAverage="0" bottom="0" percent="0" rank="0" text="" dxfId="2207">
      <formula>P34&gt;0</formula>
    </cfRule>
  </conditionalFormatting>
  <conditionalFormatting sqref="P36">
    <cfRule type="cellIs" priority="1185" operator="equal" aboveAverage="0" equalAverage="0" bottom="0" percent="0" rank="0" text="" dxfId="2208">
      <formula>"В"</formula>
    </cfRule>
  </conditionalFormatting>
  <conditionalFormatting sqref="P36">
    <cfRule type="cellIs" priority="1186" operator="greaterThan" aboveAverage="0" equalAverage="0" bottom="0" percent="0" rank="0" text="" dxfId="2209">
      <formula>0</formula>
    </cfRule>
    <cfRule type="expression" priority="1187" aboveAverage="0" equalAverage="0" bottom="0" percent="0" rank="0" text="" dxfId="2210">
      <formula>P35&gt;0</formula>
    </cfRule>
  </conditionalFormatting>
  <conditionalFormatting sqref="P37">
    <cfRule type="cellIs" priority="1188" operator="equal" aboveAverage="0" equalAverage="0" bottom="0" percent="0" rank="0" text="" dxfId="2211">
      <formula>"В"</formula>
    </cfRule>
  </conditionalFormatting>
  <conditionalFormatting sqref="P37">
    <cfRule type="cellIs" priority="1189" operator="greaterThan" aboveAverage="0" equalAverage="0" bottom="0" percent="0" rank="0" text="" dxfId="2212">
      <formula>0</formula>
    </cfRule>
    <cfRule type="expression" priority="1190" aboveAverage="0" equalAverage="0" bottom="0" percent="0" rank="0" text="" dxfId="2213">
      <formula>P36&gt;0</formula>
    </cfRule>
  </conditionalFormatting>
  <conditionalFormatting sqref="P38">
    <cfRule type="cellIs" priority="1191" operator="equal" aboveAverage="0" equalAverage="0" bottom="0" percent="0" rank="0" text="" dxfId="2214">
      <formula>"В"</formula>
    </cfRule>
  </conditionalFormatting>
  <conditionalFormatting sqref="P38">
    <cfRule type="cellIs" priority="1192" operator="greaterThan" aboveAverage="0" equalAverage="0" bottom="0" percent="0" rank="0" text="" dxfId="2215">
      <formula>0</formula>
    </cfRule>
    <cfRule type="expression" priority="1193" aboveAverage="0" equalAverage="0" bottom="0" percent="0" rank="0" text="" dxfId="2216">
      <formula>P37&gt;0</formula>
    </cfRule>
  </conditionalFormatting>
  <conditionalFormatting sqref="P39">
    <cfRule type="cellIs" priority="1194" operator="equal" aboveAverage="0" equalAverage="0" bottom="0" percent="0" rank="0" text="" dxfId="2217">
      <formula>"В"</formula>
    </cfRule>
  </conditionalFormatting>
  <conditionalFormatting sqref="P39">
    <cfRule type="cellIs" priority="1195" operator="greaterThan" aboveAverage="0" equalAverage="0" bottom="0" percent="0" rank="0" text="" dxfId="2218">
      <formula>0</formula>
    </cfRule>
    <cfRule type="expression" priority="1196" aboveAverage="0" equalAverage="0" bottom="0" percent="0" rank="0" text="" dxfId="2219">
      <formula>P38&gt;0</formula>
    </cfRule>
  </conditionalFormatting>
  <conditionalFormatting sqref="P40">
    <cfRule type="cellIs" priority="1197" operator="equal" aboveAverage="0" equalAverage="0" bottom="0" percent="0" rank="0" text="" dxfId="2220">
      <formula>"В"</formula>
    </cfRule>
  </conditionalFormatting>
  <conditionalFormatting sqref="P40">
    <cfRule type="cellIs" priority="1198" operator="greaterThan" aboveAverage="0" equalAverage="0" bottom="0" percent="0" rank="0" text="" dxfId="2221">
      <formula>0</formula>
    </cfRule>
    <cfRule type="expression" priority="1199" aboveAverage="0" equalAverage="0" bottom="0" percent="0" rank="0" text="" dxfId="2222">
      <formula>P39&gt;0</formula>
    </cfRule>
  </conditionalFormatting>
  <conditionalFormatting sqref="P41">
    <cfRule type="cellIs" priority="1200" operator="equal" aboveAverage="0" equalAverage="0" bottom="0" percent="0" rank="0" text="" dxfId="2223">
      <formula>"В"</formula>
    </cfRule>
  </conditionalFormatting>
  <conditionalFormatting sqref="P41">
    <cfRule type="cellIs" priority="1201" operator="greaterThan" aboveAverage="0" equalAverage="0" bottom="0" percent="0" rank="0" text="" dxfId="2224">
      <formula>0</formula>
    </cfRule>
    <cfRule type="expression" priority="1202" aboveAverage="0" equalAverage="0" bottom="0" percent="0" rank="0" text="" dxfId="2225">
      <formula>P40&gt;0</formula>
    </cfRule>
  </conditionalFormatting>
  <conditionalFormatting sqref="P42">
    <cfRule type="cellIs" priority="1203" operator="equal" aboveAverage="0" equalAverage="0" bottom="0" percent="0" rank="0" text="" dxfId="2226">
      <formula>"В"</formula>
    </cfRule>
  </conditionalFormatting>
  <conditionalFormatting sqref="P42">
    <cfRule type="cellIs" priority="1204" operator="greaterThan" aboveAverage="0" equalAverage="0" bottom="0" percent="0" rank="0" text="" dxfId="2227">
      <formula>0</formula>
    </cfRule>
    <cfRule type="expression" priority="1205" aboveAverage="0" equalAverage="0" bottom="0" percent="0" rank="0" text="" dxfId="2228">
      <formula>P41&gt;0</formula>
    </cfRule>
  </conditionalFormatting>
  <conditionalFormatting sqref="P43">
    <cfRule type="cellIs" priority="1206" operator="equal" aboveAverage="0" equalAverage="0" bottom="0" percent="0" rank="0" text="" dxfId="2229">
      <formula>"В"</formula>
    </cfRule>
  </conditionalFormatting>
  <conditionalFormatting sqref="P43">
    <cfRule type="cellIs" priority="1207" operator="greaterThan" aboveAverage="0" equalAverage="0" bottom="0" percent="0" rank="0" text="" dxfId="2230">
      <formula>0</formula>
    </cfRule>
    <cfRule type="expression" priority="1208" aboveAverage="0" equalAverage="0" bottom="0" percent="0" rank="0" text="" dxfId="2231">
      <formula>P42&gt;0</formula>
    </cfRule>
  </conditionalFormatting>
  <conditionalFormatting sqref="P44">
    <cfRule type="cellIs" priority="1209" operator="equal" aboveAverage="0" equalAverage="0" bottom="0" percent="0" rank="0" text="" dxfId="2232">
      <formula>"В"</formula>
    </cfRule>
  </conditionalFormatting>
  <conditionalFormatting sqref="P44">
    <cfRule type="cellIs" priority="1210" operator="greaterThan" aboveAverage="0" equalAverage="0" bottom="0" percent="0" rank="0" text="" dxfId="2233">
      <formula>0</formula>
    </cfRule>
    <cfRule type="expression" priority="1211" aboveAverage="0" equalAverage="0" bottom="0" percent="0" rank="0" text="" dxfId="2234">
      <formula>P43&gt;0</formula>
    </cfRule>
  </conditionalFormatting>
  <conditionalFormatting sqref="P45">
    <cfRule type="cellIs" priority="1212" operator="equal" aboveAverage="0" equalAverage="0" bottom="0" percent="0" rank="0" text="" dxfId="2235">
      <formula>"В"</formula>
    </cfRule>
  </conditionalFormatting>
  <conditionalFormatting sqref="P45">
    <cfRule type="cellIs" priority="1213" operator="greaterThan" aboveAverage="0" equalAverage="0" bottom="0" percent="0" rank="0" text="" dxfId="2236">
      <formula>0</formula>
    </cfRule>
    <cfRule type="expression" priority="1214" aboveAverage="0" equalAverage="0" bottom="0" percent="0" rank="0" text="" dxfId="2237">
      <formula>P44&gt;0</formula>
    </cfRule>
  </conditionalFormatting>
  <conditionalFormatting sqref="P46">
    <cfRule type="cellIs" priority="1215" operator="equal" aboveAverage="0" equalAverage="0" bottom="0" percent="0" rank="0" text="" dxfId="2238">
      <formula>"В"</formula>
    </cfRule>
  </conditionalFormatting>
  <conditionalFormatting sqref="P46">
    <cfRule type="cellIs" priority="1216" operator="greaterThan" aboveAverage="0" equalAverage="0" bottom="0" percent="0" rank="0" text="" dxfId="2239">
      <formula>0</formula>
    </cfRule>
    <cfRule type="expression" priority="1217" aboveAverage="0" equalAverage="0" bottom="0" percent="0" rank="0" text="" dxfId="2240">
      <formula>P45&gt;0</formula>
    </cfRule>
  </conditionalFormatting>
  <conditionalFormatting sqref="P47">
    <cfRule type="cellIs" priority="1218" operator="equal" aboveAverage="0" equalAverage="0" bottom="0" percent="0" rank="0" text="" dxfId="2241">
      <formula>"В"</formula>
    </cfRule>
  </conditionalFormatting>
  <conditionalFormatting sqref="P47">
    <cfRule type="cellIs" priority="1219" operator="greaterThan" aboveAverage="0" equalAverage="0" bottom="0" percent="0" rank="0" text="" dxfId="2242">
      <formula>0</formula>
    </cfRule>
    <cfRule type="expression" priority="1220" aboveAverage="0" equalAverage="0" bottom="0" percent="0" rank="0" text="" dxfId="2243">
      <formula>P46&gt;0</formula>
    </cfRule>
  </conditionalFormatting>
  <conditionalFormatting sqref="P48">
    <cfRule type="cellIs" priority="1221" operator="equal" aboveAverage="0" equalAverage="0" bottom="0" percent="0" rank="0" text="" dxfId="2244">
      <formula>"В"</formula>
    </cfRule>
  </conditionalFormatting>
  <conditionalFormatting sqref="P48">
    <cfRule type="cellIs" priority="1222" operator="greaterThan" aboveAverage="0" equalAverage="0" bottom="0" percent="0" rank="0" text="" dxfId="2245">
      <formula>0</formula>
    </cfRule>
    <cfRule type="expression" priority="1223" aboveAverage="0" equalAverage="0" bottom="0" percent="0" rank="0" text="" dxfId="2246">
      <formula>P47&gt;0</formula>
    </cfRule>
  </conditionalFormatting>
  <conditionalFormatting sqref="P49">
    <cfRule type="cellIs" priority="1224" operator="equal" aboveAverage="0" equalAverage="0" bottom="0" percent="0" rank="0" text="" dxfId="2247">
      <formula>"В"</formula>
    </cfRule>
  </conditionalFormatting>
  <conditionalFormatting sqref="P49">
    <cfRule type="cellIs" priority="1225" operator="greaterThan" aboveAverage="0" equalAverage="0" bottom="0" percent="0" rank="0" text="" dxfId="2248">
      <formula>0</formula>
    </cfRule>
    <cfRule type="expression" priority="1226" aboveAverage="0" equalAverage="0" bottom="0" percent="0" rank="0" text="" dxfId="2249">
      <formula>P48&gt;0</formula>
    </cfRule>
  </conditionalFormatting>
  <conditionalFormatting sqref="Q22">
    <cfRule type="cellIs" priority="1227" operator="equal" aboveAverage="0" equalAverage="0" bottom="0" percent="0" rank="0" text="" dxfId="2250">
      <formula>"В"</formula>
    </cfRule>
  </conditionalFormatting>
  <conditionalFormatting sqref="Q22">
    <cfRule type="cellIs" priority="1228" operator="greaterThan" aboveAverage="0" equalAverage="0" bottom="0" percent="0" rank="0" text="" dxfId="2251">
      <formula>0</formula>
    </cfRule>
    <cfRule type="expression" priority="1229" aboveAverage="0" equalAverage="0" bottom="0" percent="0" rank="0" text="" dxfId="2252">
      <formula>Q21&gt;0</formula>
    </cfRule>
  </conditionalFormatting>
  <conditionalFormatting sqref="Q23">
    <cfRule type="cellIs" priority="1230" operator="equal" aboveAverage="0" equalAverage="0" bottom="0" percent="0" rank="0" text="" dxfId="2253">
      <formula>"В"</formula>
    </cfRule>
  </conditionalFormatting>
  <conditionalFormatting sqref="Q23">
    <cfRule type="cellIs" priority="1231" operator="greaterThan" aboveAverage="0" equalAverage="0" bottom="0" percent="0" rank="0" text="" dxfId="2254">
      <formula>0</formula>
    </cfRule>
    <cfRule type="expression" priority="1232" aboveAverage="0" equalAverage="0" bottom="0" percent="0" rank="0" text="" dxfId="2255">
      <formula>Q22&gt;0</formula>
    </cfRule>
  </conditionalFormatting>
  <conditionalFormatting sqref="Q24">
    <cfRule type="cellIs" priority="1233" operator="equal" aboveAverage="0" equalAverage="0" bottom="0" percent="0" rank="0" text="" dxfId="2256">
      <formula>"В"</formula>
    </cfRule>
  </conditionalFormatting>
  <conditionalFormatting sqref="Q24">
    <cfRule type="cellIs" priority="1234" operator="greaterThan" aboveAverage="0" equalAverage="0" bottom="0" percent="0" rank="0" text="" dxfId="2257">
      <formula>0</formula>
    </cfRule>
    <cfRule type="expression" priority="1235" aboveAverage="0" equalAverage="0" bottom="0" percent="0" rank="0" text="" dxfId="2258">
      <formula>Q23&gt;0</formula>
    </cfRule>
  </conditionalFormatting>
  <conditionalFormatting sqref="Q25">
    <cfRule type="cellIs" priority="1236" operator="equal" aboveAverage="0" equalAverage="0" bottom="0" percent="0" rank="0" text="" dxfId="2259">
      <formula>"В"</formula>
    </cfRule>
  </conditionalFormatting>
  <conditionalFormatting sqref="Q25">
    <cfRule type="cellIs" priority="1237" operator="greaterThan" aboveAverage="0" equalAverage="0" bottom="0" percent="0" rank="0" text="" dxfId="2260">
      <formula>0</formula>
    </cfRule>
    <cfRule type="expression" priority="1238" aboveAverage="0" equalAverage="0" bottom="0" percent="0" rank="0" text="" dxfId="2261">
      <formula>Q24&gt;0</formula>
    </cfRule>
  </conditionalFormatting>
  <conditionalFormatting sqref="Q26">
    <cfRule type="cellIs" priority="1239" operator="equal" aboveAverage="0" equalAverage="0" bottom="0" percent="0" rank="0" text="" dxfId="2262">
      <formula>"В"</formula>
    </cfRule>
  </conditionalFormatting>
  <conditionalFormatting sqref="Q26">
    <cfRule type="cellIs" priority="1240" operator="greaterThan" aboveAverage="0" equalAverage="0" bottom="0" percent="0" rank="0" text="" dxfId="2263">
      <formula>0</formula>
    </cfRule>
    <cfRule type="expression" priority="1241" aboveAverage="0" equalAverage="0" bottom="0" percent="0" rank="0" text="" dxfId="2264">
      <formula>Q25&gt;0</formula>
    </cfRule>
  </conditionalFormatting>
  <conditionalFormatting sqref="Q27">
    <cfRule type="cellIs" priority="1242" operator="equal" aboveAverage="0" equalAverage="0" bottom="0" percent="0" rank="0" text="" dxfId="2265">
      <formula>"В"</formula>
    </cfRule>
  </conditionalFormatting>
  <conditionalFormatting sqref="Q27">
    <cfRule type="cellIs" priority="1243" operator="greaterThan" aboveAverage="0" equalAverage="0" bottom="0" percent="0" rank="0" text="" dxfId="2266">
      <formula>0</formula>
    </cfRule>
    <cfRule type="expression" priority="1244" aboveAverage="0" equalAverage="0" bottom="0" percent="0" rank="0" text="" dxfId="2267">
      <formula>Q26&gt;0</formula>
    </cfRule>
  </conditionalFormatting>
  <conditionalFormatting sqref="Q28">
    <cfRule type="cellIs" priority="1245" operator="equal" aboveAverage="0" equalAverage="0" bottom="0" percent="0" rank="0" text="" dxfId="2268">
      <formula>"В"</formula>
    </cfRule>
  </conditionalFormatting>
  <conditionalFormatting sqref="Q28">
    <cfRule type="cellIs" priority="1246" operator="greaterThan" aboveAverage="0" equalAverage="0" bottom="0" percent="0" rank="0" text="" dxfId="2269">
      <formula>0</formula>
    </cfRule>
    <cfRule type="expression" priority="1247" aboveAverage="0" equalAverage="0" bottom="0" percent="0" rank="0" text="" dxfId="2270">
      <formula>Q27&gt;0</formula>
    </cfRule>
  </conditionalFormatting>
  <conditionalFormatting sqref="Q29">
    <cfRule type="cellIs" priority="1248" operator="equal" aboveAverage="0" equalAverage="0" bottom="0" percent="0" rank="0" text="" dxfId="2271">
      <formula>"В"</formula>
    </cfRule>
  </conditionalFormatting>
  <conditionalFormatting sqref="Q29">
    <cfRule type="cellIs" priority="1249" operator="greaterThan" aboveAverage="0" equalAverage="0" bottom="0" percent="0" rank="0" text="" dxfId="2272">
      <formula>0</formula>
    </cfRule>
    <cfRule type="expression" priority="1250" aboveAverage="0" equalAverage="0" bottom="0" percent="0" rank="0" text="" dxfId="2273">
      <formula>Q28&gt;0</formula>
    </cfRule>
  </conditionalFormatting>
  <conditionalFormatting sqref="Q30">
    <cfRule type="cellIs" priority="1251" operator="equal" aboveAverage="0" equalAverage="0" bottom="0" percent="0" rank="0" text="" dxfId="2274">
      <formula>"В"</formula>
    </cfRule>
  </conditionalFormatting>
  <conditionalFormatting sqref="Q30">
    <cfRule type="cellIs" priority="1252" operator="greaterThan" aboveAverage="0" equalAverage="0" bottom="0" percent="0" rank="0" text="" dxfId="2275">
      <formula>0</formula>
    </cfRule>
    <cfRule type="expression" priority="1253" aboveAverage="0" equalAverage="0" bottom="0" percent="0" rank="0" text="" dxfId="2276">
      <formula>Q29&gt;0</formula>
    </cfRule>
  </conditionalFormatting>
  <conditionalFormatting sqref="Q31">
    <cfRule type="cellIs" priority="1254" operator="equal" aboveAverage="0" equalAverage="0" bottom="0" percent="0" rank="0" text="" dxfId="2277">
      <formula>"В"</formula>
    </cfRule>
  </conditionalFormatting>
  <conditionalFormatting sqref="Q31">
    <cfRule type="cellIs" priority="1255" operator="greaterThan" aboveAverage="0" equalAverage="0" bottom="0" percent="0" rank="0" text="" dxfId="2278">
      <formula>0</formula>
    </cfRule>
    <cfRule type="expression" priority="1256" aboveAverage="0" equalAverage="0" bottom="0" percent="0" rank="0" text="" dxfId="2279">
      <formula>Q30&gt;0</formula>
    </cfRule>
  </conditionalFormatting>
  <conditionalFormatting sqref="Q32">
    <cfRule type="cellIs" priority="1257" operator="equal" aboveAverage="0" equalAverage="0" bottom="0" percent="0" rank="0" text="" dxfId="2280">
      <formula>"В"</formula>
    </cfRule>
  </conditionalFormatting>
  <conditionalFormatting sqref="Q32">
    <cfRule type="cellIs" priority="1258" operator="greaterThan" aboveAverage="0" equalAverage="0" bottom="0" percent="0" rank="0" text="" dxfId="2281">
      <formula>0</formula>
    </cfRule>
    <cfRule type="expression" priority="1259" aboveAverage="0" equalAverage="0" bottom="0" percent="0" rank="0" text="" dxfId="2282">
      <formula>Q31&gt;0</formula>
    </cfRule>
  </conditionalFormatting>
  <conditionalFormatting sqref="Q33">
    <cfRule type="cellIs" priority="1260" operator="equal" aboveAverage="0" equalAverage="0" bottom="0" percent="0" rank="0" text="" dxfId="2283">
      <formula>"В"</formula>
    </cfRule>
  </conditionalFormatting>
  <conditionalFormatting sqref="Q33">
    <cfRule type="cellIs" priority="1261" operator="greaterThan" aboveAverage="0" equalAverage="0" bottom="0" percent="0" rank="0" text="" dxfId="2284">
      <formula>0</formula>
    </cfRule>
    <cfRule type="expression" priority="1262" aboveAverage="0" equalAverage="0" bottom="0" percent="0" rank="0" text="" dxfId="2285">
      <formula>Q32&gt;0</formula>
    </cfRule>
  </conditionalFormatting>
  <conditionalFormatting sqref="Q34">
    <cfRule type="cellIs" priority="1263" operator="equal" aboveAverage="0" equalAverage="0" bottom="0" percent="0" rank="0" text="" dxfId="2286">
      <formula>"В"</formula>
    </cfRule>
  </conditionalFormatting>
  <conditionalFormatting sqref="Q34">
    <cfRule type="cellIs" priority="1264" operator="greaterThan" aboveAverage="0" equalAverage="0" bottom="0" percent="0" rank="0" text="" dxfId="2287">
      <formula>0</formula>
    </cfRule>
    <cfRule type="expression" priority="1265" aboveAverage="0" equalAverage="0" bottom="0" percent="0" rank="0" text="" dxfId="2288">
      <formula>Q33&gt;0</formula>
    </cfRule>
  </conditionalFormatting>
  <conditionalFormatting sqref="Q35">
    <cfRule type="cellIs" priority="1266" operator="equal" aboveAverage="0" equalAverage="0" bottom="0" percent="0" rank="0" text="" dxfId="2289">
      <formula>"В"</formula>
    </cfRule>
  </conditionalFormatting>
  <conditionalFormatting sqref="Q35">
    <cfRule type="cellIs" priority="1267" operator="greaterThan" aboveAverage="0" equalAverage="0" bottom="0" percent="0" rank="0" text="" dxfId="2290">
      <formula>0</formula>
    </cfRule>
    <cfRule type="expression" priority="1268" aboveAverage="0" equalAverage="0" bottom="0" percent="0" rank="0" text="" dxfId="2291">
      <formula>Q34&gt;0</formula>
    </cfRule>
  </conditionalFormatting>
  <conditionalFormatting sqref="Q36">
    <cfRule type="cellIs" priority="1269" operator="equal" aboveAverage="0" equalAverage="0" bottom="0" percent="0" rank="0" text="" dxfId="2292">
      <formula>"В"</formula>
    </cfRule>
  </conditionalFormatting>
  <conditionalFormatting sqref="Q36">
    <cfRule type="cellIs" priority="1270" operator="greaterThan" aboveAverage="0" equalAverage="0" bottom="0" percent="0" rank="0" text="" dxfId="2293">
      <formula>0</formula>
    </cfRule>
    <cfRule type="expression" priority="1271" aboveAverage="0" equalAverage="0" bottom="0" percent="0" rank="0" text="" dxfId="2294">
      <formula>Q35&gt;0</formula>
    </cfRule>
  </conditionalFormatting>
  <conditionalFormatting sqref="Q37">
    <cfRule type="cellIs" priority="1272" operator="equal" aboveAverage="0" equalAverage="0" bottom="0" percent="0" rank="0" text="" dxfId="2295">
      <formula>"В"</formula>
    </cfRule>
  </conditionalFormatting>
  <conditionalFormatting sqref="Q37">
    <cfRule type="cellIs" priority="1273" operator="greaterThan" aboveAverage="0" equalAverage="0" bottom="0" percent="0" rank="0" text="" dxfId="2296">
      <formula>0</formula>
    </cfRule>
    <cfRule type="expression" priority="1274" aboveAverage="0" equalAverage="0" bottom="0" percent="0" rank="0" text="" dxfId="2297">
      <formula>Q36&gt;0</formula>
    </cfRule>
  </conditionalFormatting>
  <conditionalFormatting sqref="Q38">
    <cfRule type="cellIs" priority="1275" operator="equal" aboveAverage="0" equalAverage="0" bottom="0" percent="0" rank="0" text="" dxfId="2298">
      <formula>"В"</formula>
    </cfRule>
  </conditionalFormatting>
  <conditionalFormatting sqref="Q38">
    <cfRule type="cellIs" priority="1276" operator="greaterThan" aboveAverage="0" equalAverage="0" bottom="0" percent="0" rank="0" text="" dxfId="2299">
      <formula>0</formula>
    </cfRule>
    <cfRule type="expression" priority="1277" aboveAverage="0" equalAverage="0" bottom="0" percent="0" rank="0" text="" dxfId="2300">
      <formula>Q37&gt;0</formula>
    </cfRule>
  </conditionalFormatting>
  <conditionalFormatting sqref="Q39">
    <cfRule type="cellIs" priority="1278" operator="equal" aboveAverage="0" equalAverage="0" bottom="0" percent="0" rank="0" text="" dxfId="2301">
      <formula>"В"</formula>
    </cfRule>
  </conditionalFormatting>
  <conditionalFormatting sqref="Q39">
    <cfRule type="cellIs" priority="1279" operator="greaterThan" aboveAverage="0" equalAverage="0" bottom="0" percent="0" rank="0" text="" dxfId="2302">
      <formula>0</formula>
    </cfRule>
    <cfRule type="expression" priority="1280" aboveAverage="0" equalAverage="0" bottom="0" percent="0" rank="0" text="" dxfId="2303">
      <formula>Q38&gt;0</formula>
    </cfRule>
  </conditionalFormatting>
  <conditionalFormatting sqref="Q40">
    <cfRule type="cellIs" priority="1281" operator="equal" aboveAverage="0" equalAverage="0" bottom="0" percent="0" rank="0" text="" dxfId="2304">
      <formula>"В"</formula>
    </cfRule>
  </conditionalFormatting>
  <conditionalFormatting sqref="Q40">
    <cfRule type="cellIs" priority="1282" operator="greaterThan" aboveAverage="0" equalAverage="0" bottom="0" percent="0" rank="0" text="" dxfId="2305">
      <formula>0</formula>
    </cfRule>
    <cfRule type="expression" priority="1283" aboveAverage="0" equalAverage="0" bottom="0" percent="0" rank="0" text="" dxfId="2306">
      <formula>Q39&gt;0</formula>
    </cfRule>
  </conditionalFormatting>
  <conditionalFormatting sqref="Q41">
    <cfRule type="cellIs" priority="1284" operator="equal" aboveAverage="0" equalAverage="0" bottom="0" percent="0" rank="0" text="" dxfId="2307">
      <formula>"В"</formula>
    </cfRule>
  </conditionalFormatting>
  <conditionalFormatting sqref="Q41">
    <cfRule type="cellIs" priority="1285" operator="greaterThan" aboveAverage="0" equalAverage="0" bottom="0" percent="0" rank="0" text="" dxfId="2308">
      <formula>0</formula>
    </cfRule>
    <cfRule type="expression" priority="1286" aboveAverage="0" equalAverage="0" bottom="0" percent="0" rank="0" text="" dxfId="2309">
      <formula>Q40&gt;0</formula>
    </cfRule>
  </conditionalFormatting>
  <conditionalFormatting sqref="Q42">
    <cfRule type="cellIs" priority="1287" operator="equal" aboveAverage="0" equalAverage="0" bottom="0" percent="0" rank="0" text="" dxfId="2310">
      <formula>"В"</formula>
    </cfRule>
  </conditionalFormatting>
  <conditionalFormatting sqref="Q42">
    <cfRule type="cellIs" priority="1288" operator="greaterThan" aboveAverage="0" equalAverage="0" bottom="0" percent="0" rank="0" text="" dxfId="2311">
      <formula>0</formula>
    </cfRule>
    <cfRule type="expression" priority="1289" aboveAverage="0" equalAverage="0" bottom="0" percent="0" rank="0" text="" dxfId="2312">
      <formula>Q41&gt;0</formula>
    </cfRule>
  </conditionalFormatting>
  <conditionalFormatting sqref="Q43">
    <cfRule type="cellIs" priority="1290" operator="equal" aboveAverage="0" equalAverage="0" bottom="0" percent="0" rank="0" text="" dxfId="2313">
      <formula>"В"</formula>
    </cfRule>
  </conditionalFormatting>
  <conditionalFormatting sqref="Q43">
    <cfRule type="cellIs" priority="1291" operator="greaterThan" aboveAverage="0" equalAverage="0" bottom="0" percent="0" rank="0" text="" dxfId="2314">
      <formula>0</formula>
    </cfRule>
    <cfRule type="expression" priority="1292" aboveAverage="0" equalAverage="0" bottom="0" percent="0" rank="0" text="" dxfId="2315">
      <formula>Q42&gt;0</formula>
    </cfRule>
  </conditionalFormatting>
  <conditionalFormatting sqref="Q44">
    <cfRule type="cellIs" priority="1293" operator="equal" aboveAverage="0" equalAverage="0" bottom="0" percent="0" rank="0" text="" dxfId="2316">
      <formula>"В"</formula>
    </cfRule>
  </conditionalFormatting>
  <conditionalFormatting sqref="Q44">
    <cfRule type="cellIs" priority="1294" operator="greaterThan" aboveAverage="0" equalAverage="0" bottom="0" percent="0" rank="0" text="" dxfId="2317">
      <formula>0</formula>
    </cfRule>
    <cfRule type="expression" priority="1295" aboveAverage="0" equalAverage="0" bottom="0" percent="0" rank="0" text="" dxfId="2318">
      <formula>Q43&gt;0</formula>
    </cfRule>
  </conditionalFormatting>
  <conditionalFormatting sqref="Q45">
    <cfRule type="cellIs" priority="1296" operator="equal" aboveAverage="0" equalAverage="0" bottom="0" percent="0" rank="0" text="" dxfId="2319">
      <formula>"В"</formula>
    </cfRule>
  </conditionalFormatting>
  <conditionalFormatting sqref="Q45">
    <cfRule type="cellIs" priority="1297" operator="greaterThan" aboveAverage="0" equalAverage="0" bottom="0" percent="0" rank="0" text="" dxfId="2320">
      <formula>0</formula>
    </cfRule>
    <cfRule type="expression" priority="1298" aboveAverage="0" equalAverage="0" bottom="0" percent="0" rank="0" text="" dxfId="2321">
      <formula>Q44&gt;0</formula>
    </cfRule>
  </conditionalFormatting>
  <conditionalFormatting sqref="Q46">
    <cfRule type="cellIs" priority="1299" operator="equal" aboveAverage="0" equalAverage="0" bottom="0" percent="0" rank="0" text="" dxfId="2322">
      <formula>"В"</formula>
    </cfRule>
  </conditionalFormatting>
  <conditionalFormatting sqref="Q46">
    <cfRule type="cellIs" priority="1300" operator="greaterThan" aboveAverage="0" equalAverage="0" bottom="0" percent="0" rank="0" text="" dxfId="2323">
      <formula>0</formula>
    </cfRule>
    <cfRule type="expression" priority="1301" aboveAverage="0" equalAverage="0" bottom="0" percent="0" rank="0" text="" dxfId="2324">
      <formula>Q45&gt;0</formula>
    </cfRule>
  </conditionalFormatting>
  <conditionalFormatting sqref="Q47">
    <cfRule type="cellIs" priority="1302" operator="equal" aboveAverage="0" equalAverage="0" bottom="0" percent="0" rank="0" text="" dxfId="2325">
      <formula>"В"</formula>
    </cfRule>
  </conditionalFormatting>
  <conditionalFormatting sqref="Q47">
    <cfRule type="cellIs" priority="1303" operator="greaterThan" aboveAverage="0" equalAverage="0" bottom="0" percent="0" rank="0" text="" dxfId="2326">
      <formula>0</formula>
    </cfRule>
    <cfRule type="expression" priority="1304" aboveAverage="0" equalAverage="0" bottom="0" percent="0" rank="0" text="" dxfId="2327">
      <formula>Q46&gt;0</formula>
    </cfRule>
  </conditionalFormatting>
  <conditionalFormatting sqref="Q48">
    <cfRule type="cellIs" priority="1305" operator="equal" aboveAverage="0" equalAverage="0" bottom="0" percent="0" rank="0" text="" dxfId="2328">
      <formula>"В"</formula>
    </cfRule>
  </conditionalFormatting>
  <conditionalFormatting sqref="Q48">
    <cfRule type="cellIs" priority="1306" operator="greaterThan" aboveAverage="0" equalAverage="0" bottom="0" percent="0" rank="0" text="" dxfId="2329">
      <formula>0</formula>
    </cfRule>
    <cfRule type="expression" priority="1307" aboveAverage="0" equalAverage="0" bottom="0" percent="0" rank="0" text="" dxfId="2330">
      <formula>Q47&gt;0</formula>
    </cfRule>
  </conditionalFormatting>
  <conditionalFormatting sqref="Q49">
    <cfRule type="cellIs" priority="1308" operator="equal" aboveAverage="0" equalAverage="0" bottom="0" percent="0" rank="0" text="" dxfId="2331">
      <formula>"В"</formula>
    </cfRule>
  </conditionalFormatting>
  <conditionalFormatting sqref="Q49">
    <cfRule type="cellIs" priority="1309" operator="greaterThan" aboveAverage="0" equalAverage="0" bottom="0" percent="0" rank="0" text="" dxfId="2332">
      <formula>0</formula>
    </cfRule>
    <cfRule type="expression" priority="1310" aboveAverage="0" equalAverage="0" bottom="0" percent="0" rank="0" text="" dxfId="2333">
      <formula>Q48&gt;0</formula>
    </cfRule>
  </conditionalFormatting>
  <conditionalFormatting sqref="R22">
    <cfRule type="cellIs" priority="1311" operator="equal" aboveAverage="0" equalAverage="0" bottom="0" percent="0" rank="0" text="" dxfId="2334">
      <formula>"В"</formula>
    </cfRule>
  </conditionalFormatting>
  <conditionalFormatting sqref="R22">
    <cfRule type="cellIs" priority="1312" operator="greaterThan" aboveAverage="0" equalAverage="0" bottom="0" percent="0" rank="0" text="" dxfId="2335">
      <formula>0</formula>
    </cfRule>
    <cfRule type="expression" priority="1313" aboveAverage="0" equalAverage="0" bottom="0" percent="0" rank="0" text="" dxfId="2336">
      <formula>R21&gt;0</formula>
    </cfRule>
  </conditionalFormatting>
  <conditionalFormatting sqref="R23">
    <cfRule type="cellIs" priority="1314" operator="equal" aboveAverage="0" equalAverage="0" bottom="0" percent="0" rank="0" text="" dxfId="2337">
      <formula>"В"</formula>
    </cfRule>
  </conditionalFormatting>
  <conditionalFormatting sqref="R23">
    <cfRule type="cellIs" priority="1315" operator="greaterThan" aboveAverage="0" equalAverage="0" bottom="0" percent="0" rank="0" text="" dxfId="2338">
      <formula>0</formula>
    </cfRule>
    <cfRule type="expression" priority="1316" aboveAverage="0" equalAverage="0" bottom="0" percent="0" rank="0" text="" dxfId="2339">
      <formula>R22&gt;0</formula>
    </cfRule>
  </conditionalFormatting>
  <conditionalFormatting sqref="R24">
    <cfRule type="cellIs" priority="1317" operator="equal" aboveAverage="0" equalAverage="0" bottom="0" percent="0" rank="0" text="" dxfId="2340">
      <formula>"В"</formula>
    </cfRule>
  </conditionalFormatting>
  <conditionalFormatting sqref="R24">
    <cfRule type="cellIs" priority="1318" operator="greaterThan" aboveAverage="0" equalAverage="0" bottom="0" percent="0" rank="0" text="" dxfId="2341">
      <formula>0</formula>
    </cfRule>
    <cfRule type="expression" priority="1319" aboveAverage="0" equalAverage="0" bottom="0" percent="0" rank="0" text="" dxfId="2342">
      <formula>R23&gt;0</formula>
    </cfRule>
  </conditionalFormatting>
  <conditionalFormatting sqref="R25">
    <cfRule type="cellIs" priority="1320" operator="equal" aboveAverage="0" equalAverage="0" bottom="0" percent="0" rank="0" text="" dxfId="2343">
      <formula>"В"</formula>
    </cfRule>
  </conditionalFormatting>
  <conditionalFormatting sqref="R25">
    <cfRule type="cellIs" priority="1321" operator="greaterThan" aboveAverage="0" equalAverage="0" bottom="0" percent="0" rank="0" text="" dxfId="2344">
      <formula>0</formula>
    </cfRule>
    <cfRule type="expression" priority="1322" aboveAverage="0" equalAverage="0" bottom="0" percent="0" rank="0" text="" dxfId="2345">
      <formula>R24&gt;0</formula>
    </cfRule>
  </conditionalFormatting>
  <conditionalFormatting sqref="R26">
    <cfRule type="cellIs" priority="1323" operator="equal" aboveAverage="0" equalAverage="0" bottom="0" percent="0" rank="0" text="" dxfId="2346">
      <formula>"В"</formula>
    </cfRule>
  </conditionalFormatting>
  <conditionalFormatting sqref="R26">
    <cfRule type="cellIs" priority="1324" operator="greaterThan" aboveAverage="0" equalAverage="0" bottom="0" percent="0" rank="0" text="" dxfId="2347">
      <formula>0</formula>
    </cfRule>
    <cfRule type="expression" priority="1325" aboveAverage="0" equalAverage="0" bottom="0" percent="0" rank="0" text="" dxfId="2348">
      <formula>R25&gt;0</formula>
    </cfRule>
  </conditionalFormatting>
  <conditionalFormatting sqref="R27">
    <cfRule type="cellIs" priority="1326" operator="equal" aboveAverage="0" equalAverage="0" bottom="0" percent="0" rank="0" text="" dxfId="2349">
      <formula>"В"</formula>
    </cfRule>
  </conditionalFormatting>
  <conditionalFormatting sqref="R27">
    <cfRule type="cellIs" priority="1327" operator="greaterThan" aboveAverage="0" equalAverage="0" bottom="0" percent="0" rank="0" text="" dxfId="2350">
      <formula>0</formula>
    </cfRule>
    <cfRule type="expression" priority="1328" aboveAverage="0" equalAverage="0" bottom="0" percent="0" rank="0" text="" dxfId="2351">
      <formula>R26&gt;0</formula>
    </cfRule>
  </conditionalFormatting>
  <conditionalFormatting sqref="R28">
    <cfRule type="cellIs" priority="1329" operator="equal" aboveAverage="0" equalAverage="0" bottom="0" percent="0" rank="0" text="" dxfId="2352">
      <formula>"В"</formula>
    </cfRule>
  </conditionalFormatting>
  <conditionalFormatting sqref="R28">
    <cfRule type="cellIs" priority="1330" operator="greaterThan" aboveAverage="0" equalAverage="0" bottom="0" percent="0" rank="0" text="" dxfId="2353">
      <formula>0</formula>
    </cfRule>
    <cfRule type="expression" priority="1331" aboveAverage="0" equalAverage="0" bottom="0" percent="0" rank="0" text="" dxfId="2354">
      <formula>R27&gt;0</formula>
    </cfRule>
  </conditionalFormatting>
  <conditionalFormatting sqref="R29">
    <cfRule type="cellIs" priority="1332" operator="equal" aboveAverage="0" equalAverage="0" bottom="0" percent="0" rank="0" text="" dxfId="2355">
      <formula>"В"</formula>
    </cfRule>
  </conditionalFormatting>
  <conditionalFormatting sqref="R29">
    <cfRule type="cellIs" priority="1333" operator="greaterThan" aboveAverage="0" equalAverage="0" bottom="0" percent="0" rank="0" text="" dxfId="2356">
      <formula>0</formula>
    </cfRule>
    <cfRule type="expression" priority="1334" aboveAverage="0" equalAverage="0" bottom="0" percent="0" rank="0" text="" dxfId="2357">
      <formula>R28&gt;0</formula>
    </cfRule>
  </conditionalFormatting>
  <conditionalFormatting sqref="R30">
    <cfRule type="cellIs" priority="1335" operator="equal" aboveAverage="0" equalAverage="0" bottom="0" percent="0" rank="0" text="" dxfId="2358">
      <formula>"В"</formula>
    </cfRule>
  </conditionalFormatting>
  <conditionalFormatting sqref="R30">
    <cfRule type="cellIs" priority="1336" operator="greaterThan" aboveAverage="0" equalAverage="0" bottom="0" percent="0" rank="0" text="" dxfId="2359">
      <formula>0</formula>
    </cfRule>
    <cfRule type="expression" priority="1337" aboveAverage="0" equalAverage="0" bottom="0" percent="0" rank="0" text="" dxfId="2360">
      <formula>R29&gt;0</formula>
    </cfRule>
  </conditionalFormatting>
  <conditionalFormatting sqref="R31">
    <cfRule type="cellIs" priority="1338" operator="equal" aboveAverage="0" equalAverage="0" bottom="0" percent="0" rank="0" text="" dxfId="2361">
      <formula>"В"</formula>
    </cfRule>
  </conditionalFormatting>
  <conditionalFormatting sqref="R31">
    <cfRule type="cellIs" priority="1339" operator="greaterThan" aboveAverage="0" equalAverage="0" bottom="0" percent="0" rank="0" text="" dxfId="2362">
      <formula>0</formula>
    </cfRule>
    <cfRule type="expression" priority="1340" aboveAverage="0" equalAverage="0" bottom="0" percent="0" rank="0" text="" dxfId="2363">
      <formula>R30&gt;0</formula>
    </cfRule>
  </conditionalFormatting>
  <conditionalFormatting sqref="R32">
    <cfRule type="cellIs" priority="1341" operator="equal" aboveAverage="0" equalAverage="0" bottom="0" percent="0" rank="0" text="" dxfId="2364">
      <formula>"В"</formula>
    </cfRule>
  </conditionalFormatting>
  <conditionalFormatting sqref="R32">
    <cfRule type="cellIs" priority="1342" operator="greaterThan" aboveAverage="0" equalAverage="0" bottom="0" percent="0" rank="0" text="" dxfId="2365">
      <formula>0</formula>
    </cfRule>
    <cfRule type="expression" priority="1343" aboveAverage="0" equalAverage="0" bottom="0" percent="0" rank="0" text="" dxfId="2366">
      <formula>R31&gt;0</formula>
    </cfRule>
  </conditionalFormatting>
  <conditionalFormatting sqref="R33">
    <cfRule type="cellIs" priority="1344" operator="equal" aboveAverage="0" equalAverage="0" bottom="0" percent="0" rank="0" text="" dxfId="2367">
      <formula>"В"</formula>
    </cfRule>
  </conditionalFormatting>
  <conditionalFormatting sqref="R33">
    <cfRule type="cellIs" priority="1345" operator="greaterThan" aboveAverage="0" equalAverage="0" bottom="0" percent="0" rank="0" text="" dxfId="2368">
      <formula>0</formula>
    </cfRule>
    <cfRule type="expression" priority="1346" aboveAverage="0" equalAverage="0" bottom="0" percent="0" rank="0" text="" dxfId="2369">
      <formula>R32&gt;0</formula>
    </cfRule>
  </conditionalFormatting>
  <conditionalFormatting sqref="R34">
    <cfRule type="cellIs" priority="1347" operator="equal" aboveAverage="0" equalAverage="0" bottom="0" percent="0" rank="0" text="" dxfId="2370">
      <formula>"В"</formula>
    </cfRule>
  </conditionalFormatting>
  <conditionalFormatting sqref="R34">
    <cfRule type="cellIs" priority="1348" operator="greaterThan" aboveAverage="0" equalAverage="0" bottom="0" percent="0" rank="0" text="" dxfId="2371">
      <formula>0</formula>
    </cfRule>
    <cfRule type="expression" priority="1349" aboveAverage="0" equalAverage="0" bottom="0" percent="0" rank="0" text="" dxfId="2372">
      <formula>R33&gt;0</formula>
    </cfRule>
  </conditionalFormatting>
  <conditionalFormatting sqref="R35">
    <cfRule type="cellIs" priority="1350" operator="equal" aboveAverage="0" equalAverage="0" bottom="0" percent="0" rank="0" text="" dxfId="2373">
      <formula>"В"</formula>
    </cfRule>
  </conditionalFormatting>
  <conditionalFormatting sqref="R35">
    <cfRule type="cellIs" priority="1351" operator="greaterThan" aboveAverage="0" equalAverage="0" bottom="0" percent="0" rank="0" text="" dxfId="2374">
      <formula>0</formula>
    </cfRule>
    <cfRule type="expression" priority="1352" aboveAverage="0" equalAverage="0" bottom="0" percent="0" rank="0" text="" dxfId="2375">
      <formula>R34&gt;0</formula>
    </cfRule>
  </conditionalFormatting>
  <conditionalFormatting sqref="R36">
    <cfRule type="cellIs" priority="1353" operator="equal" aboveAverage="0" equalAverage="0" bottom="0" percent="0" rank="0" text="" dxfId="2376">
      <formula>"В"</formula>
    </cfRule>
  </conditionalFormatting>
  <conditionalFormatting sqref="R36">
    <cfRule type="cellIs" priority="1354" operator="greaterThan" aboveAverage="0" equalAverage="0" bottom="0" percent="0" rank="0" text="" dxfId="2377">
      <formula>0</formula>
    </cfRule>
    <cfRule type="expression" priority="1355" aboveAverage="0" equalAverage="0" bottom="0" percent="0" rank="0" text="" dxfId="2378">
      <formula>R35&gt;0</formula>
    </cfRule>
  </conditionalFormatting>
  <conditionalFormatting sqref="R37">
    <cfRule type="cellIs" priority="1356" operator="equal" aboveAverage="0" equalAverage="0" bottom="0" percent="0" rank="0" text="" dxfId="2379">
      <formula>"В"</formula>
    </cfRule>
  </conditionalFormatting>
  <conditionalFormatting sqref="R37">
    <cfRule type="cellIs" priority="1357" operator="greaterThan" aboveAverage="0" equalAverage="0" bottom="0" percent="0" rank="0" text="" dxfId="2380">
      <formula>0</formula>
    </cfRule>
    <cfRule type="expression" priority="1358" aboveAverage="0" equalAverage="0" bottom="0" percent="0" rank="0" text="" dxfId="2381">
      <formula>R36&gt;0</formula>
    </cfRule>
  </conditionalFormatting>
  <conditionalFormatting sqref="R38">
    <cfRule type="cellIs" priority="1359" operator="equal" aboveAverage="0" equalAverage="0" bottom="0" percent="0" rank="0" text="" dxfId="2382">
      <formula>"В"</formula>
    </cfRule>
  </conditionalFormatting>
  <conditionalFormatting sqref="R38">
    <cfRule type="cellIs" priority="1360" operator="greaterThan" aboveAverage="0" equalAverage="0" bottom="0" percent="0" rank="0" text="" dxfId="2383">
      <formula>0</formula>
    </cfRule>
    <cfRule type="expression" priority="1361" aboveAverage="0" equalAverage="0" bottom="0" percent="0" rank="0" text="" dxfId="2384">
      <formula>R37&gt;0</formula>
    </cfRule>
  </conditionalFormatting>
  <conditionalFormatting sqref="R39">
    <cfRule type="cellIs" priority="1362" operator="equal" aboveAverage="0" equalAverage="0" bottom="0" percent="0" rank="0" text="" dxfId="2385">
      <formula>"В"</formula>
    </cfRule>
  </conditionalFormatting>
  <conditionalFormatting sqref="R39">
    <cfRule type="cellIs" priority="1363" operator="greaterThan" aboveAverage="0" equalAverage="0" bottom="0" percent="0" rank="0" text="" dxfId="2386">
      <formula>0</formula>
    </cfRule>
    <cfRule type="expression" priority="1364" aboveAverage="0" equalAverage="0" bottom="0" percent="0" rank="0" text="" dxfId="2387">
      <formula>R38&gt;0</formula>
    </cfRule>
  </conditionalFormatting>
  <conditionalFormatting sqref="R40">
    <cfRule type="cellIs" priority="1365" operator="equal" aboveAverage="0" equalAverage="0" bottom="0" percent="0" rank="0" text="" dxfId="2388">
      <formula>"В"</formula>
    </cfRule>
  </conditionalFormatting>
  <conditionalFormatting sqref="R40">
    <cfRule type="cellIs" priority="1366" operator="greaterThan" aboveAverage="0" equalAverage="0" bottom="0" percent="0" rank="0" text="" dxfId="2389">
      <formula>0</formula>
    </cfRule>
    <cfRule type="expression" priority="1367" aboveAverage="0" equalAverage="0" bottom="0" percent="0" rank="0" text="" dxfId="2390">
      <formula>R39&gt;0</formula>
    </cfRule>
  </conditionalFormatting>
  <conditionalFormatting sqref="R41">
    <cfRule type="cellIs" priority="1368" operator="equal" aboveAverage="0" equalAverage="0" bottom="0" percent="0" rank="0" text="" dxfId="2391">
      <formula>"В"</formula>
    </cfRule>
  </conditionalFormatting>
  <conditionalFormatting sqref="R41">
    <cfRule type="cellIs" priority="1369" operator="greaterThan" aboveAverage="0" equalAverage="0" bottom="0" percent="0" rank="0" text="" dxfId="2392">
      <formula>0</formula>
    </cfRule>
    <cfRule type="expression" priority="1370" aboveAverage="0" equalAverage="0" bottom="0" percent="0" rank="0" text="" dxfId="2393">
      <formula>R40&gt;0</formula>
    </cfRule>
  </conditionalFormatting>
  <conditionalFormatting sqref="R42">
    <cfRule type="cellIs" priority="1371" operator="equal" aboveAverage="0" equalAverage="0" bottom="0" percent="0" rank="0" text="" dxfId="2394">
      <formula>"В"</formula>
    </cfRule>
  </conditionalFormatting>
  <conditionalFormatting sqref="R42">
    <cfRule type="cellIs" priority="1372" operator="greaterThan" aboveAverage="0" equalAverage="0" bottom="0" percent="0" rank="0" text="" dxfId="2395">
      <formula>0</formula>
    </cfRule>
    <cfRule type="expression" priority="1373" aboveAverage="0" equalAverage="0" bottom="0" percent="0" rank="0" text="" dxfId="2396">
      <formula>R41&gt;0</formula>
    </cfRule>
  </conditionalFormatting>
  <conditionalFormatting sqref="R43">
    <cfRule type="cellIs" priority="1374" operator="equal" aboveAverage="0" equalAverage="0" bottom="0" percent="0" rank="0" text="" dxfId="2397">
      <formula>"В"</formula>
    </cfRule>
  </conditionalFormatting>
  <conditionalFormatting sqref="R43">
    <cfRule type="cellIs" priority="1375" operator="greaterThan" aboveAverage="0" equalAverage="0" bottom="0" percent="0" rank="0" text="" dxfId="2398">
      <formula>0</formula>
    </cfRule>
    <cfRule type="expression" priority="1376" aboveAverage="0" equalAverage="0" bottom="0" percent="0" rank="0" text="" dxfId="2399">
      <formula>R42&gt;0</formula>
    </cfRule>
  </conditionalFormatting>
  <conditionalFormatting sqref="R44">
    <cfRule type="cellIs" priority="1377" operator="equal" aboveAverage="0" equalAverage="0" bottom="0" percent="0" rank="0" text="" dxfId="2400">
      <formula>"В"</formula>
    </cfRule>
  </conditionalFormatting>
  <conditionalFormatting sqref="R44">
    <cfRule type="cellIs" priority="1378" operator="greaterThan" aboveAverage="0" equalAverage="0" bottom="0" percent="0" rank="0" text="" dxfId="2401">
      <formula>0</formula>
    </cfRule>
    <cfRule type="expression" priority="1379" aboveAverage="0" equalAverage="0" bottom="0" percent="0" rank="0" text="" dxfId="2402">
      <formula>R43&gt;0</formula>
    </cfRule>
  </conditionalFormatting>
  <conditionalFormatting sqref="R45">
    <cfRule type="cellIs" priority="1380" operator="equal" aboveAverage="0" equalAverage="0" bottom="0" percent="0" rank="0" text="" dxfId="2403">
      <formula>"В"</formula>
    </cfRule>
  </conditionalFormatting>
  <conditionalFormatting sqref="R45">
    <cfRule type="cellIs" priority="1381" operator="greaterThan" aboveAverage="0" equalAverage="0" bottom="0" percent="0" rank="0" text="" dxfId="2404">
      <formula>0</formula>
    </cfRule>
    <cfRule type="expression" priority="1382" aboveAverage="0" equalAverage="0" bottom="0" percent="0" rank="0" text="" dxfId="2405">
      <formula>R44&gt;0</formula>
    </cfRule>
  </conditionalFormatting>
  <conditionalFormatting sqref="R46">
    <cfRule type="cellIs" priority="1383" operator="equal" aboveAverage="0" equalAverage="0" bottom="0" percent="0" rank="0" text="" dxfId="2406">
      <formula>"В"</formula>
    </cfRule>
  </conditionalFormatting>
  <conditionalFormatting sqref="R46">
    <cfRule type="cellIs" priority="1384" operator="greaterThan" aboveAverage="0" equalAverage="0" bottom="0" percent="0" rank="0" text="" dxfId="2407">
      <formula>0</formula>
    </cfRule>
    <cfRule type="expression" priority="1385" aboveAverage="0" equalAverage="0" bottom="0" percent="0" rank="0" text="" dxfId="2408">
      <formula>R45&gt;0</formula>
    </cfRule>
  </conditionalFormatting>
  <conditionalFormatting sqref="R47">
    <cfRule type="cellIs" priority="1386" operator="equal" aboveAverage="0" equalAverage="0" bottom="0" percent="0" rank="0" text="" dxfId="2409">
      <formula>"В"</formula>
    </cfRule>
  </conditionalFormatting>
  <conditionalFormatting sqref="R47">
    <cfRule type="cellIs" priority="1387" operator="greaterThan" aboveAverage="0" equalAverage="0" bottom="0" percent="0" rank="0" text="" dxfId="2410">
      <formula>0</formula>
    </cfRule>
    <cfRule type="expression" priority="1388" aboveAverage="0" equalAverage="0" bottom="0" percent="0" rank="0" text="" dxfId="2411">
      <formula>R46&gt;0</formula>
    </cfRule>
  </conditionalFormatting>
  <conditionalFormatting sqref="R48">
    <cfRule type="cellIs" priority="1389" operator="equal" aboveAverage="0" equalAverage="0" bottom="0" percent="0" rank="0" text="" dxfId="2412">
      <formula>"В"</formula>
    </cfRule>
  </conditionalFormatting>
  <conditionalFormatting sqref="R48">
    <cfRule type="cellIs" priority="1390" operator="greaterThan" aboveAverage="0" equalAverage="0" bottom="0" percent="0" rank="0" text="" dxfId="2413">
      <formula>0</formula>
    </cfRule>
    <cfRule type="expression" priority="1391" aboveAverage="0" equalAverage="0" bottom="0" percent="0" rank="0" text="" dxfId="2414">
      <formula>R47&gt;0</formula>
    </cfRule>
  </conditionalFormatting>
  <conditionalFormatting sqref="R49">
    <cfRule type="cellIs" priority="1392" operator="equal" aboveAverage="0" equalAverage="0" bottom="0" percent="0" rank="0" text="" dxfId="2415">
      <formula>"В"</formula>
    </cfRule>
  </conditionalFormatting>
  <conditionalFormatting sqref="R49">
    <cfRule type="cellIs" priority="1393" operator="greaterThan" aboveAverage="0" equalAverage="0" bottom="0" percent="0" rank="0" text="" dxfId="2416">
      <formula>0</formula>
    </cfRule>
    <cfRule type="expression" priority="1394" aboveAverage="0" equalAverage="0" bottom="0" percent="0" rank="0" text="" dxfId="2417">
      <formula>R48&gt;0</formula>
    </cfRule>
  </conditionalFormatting>
  <conditionalFormatting sqref="S22">
    <cfRule type="cellIs" priority="1395" operator="equal" aboveAverage="0" equalAverage="0" bottom="0" percent="0" rank="0" text="" dxfId="2418">
      <formula>"В"</formula>
    </cfRule>
  </conditionalFormatting>
  <conditionalFormatting sqref="S22">
    <cfRule type="cellIs" priority="1396" operator="greaterThan" aboveAverage="0" equalAverage="0" bottom="0" percent="0" rank="0" text="" dxfId="2419">
      <formula>0</formula>
    </cfRule>
    <cfRule type="expression" priority="1397" aboveAverage="0" equalAverage="0" bottom="0" percent="0" rank="0" text="" dxfId="2420">
      <formula>S21&gt;0</formula>
    </cfRule>
  </conditionalFormatting>
  <conditionalFormatting sqref="S23">
    <cfRule type="cellIs" priority="1398" operator="equal" aboveAverage="0" equalAverage="0" bottom="0" percent="0" rank="0" text="" dxfId="2421">
      <formula>"В"</formula>
    </cfRule>
  </conditionalFormatting>
  <conditionalFormatting sqref="S23">
    <cfRule type="cellIs" priority="1399" operator="greaterThan" aboveAverage="0" equalAverage="0" bottom="0" percent="0" rank="0" text="" dxfId="2422">
      <formula>0</formula>
    </cfRule>
    <cfRule type="expression" priority="1400" aboveAverage="0" equalAverage="0" bottom="0" percent="0" rank="0" text="" dxfId="2423">
      <formula>S22&gt;0</formula>
    </cfRule>
  </conditionalFormatting>
  <conditionalFormatting sqref="S24">
    <cfRule type="cellIs" priority="1401" operator="equal" aboveAverage="0" equalAverage="0" bottom="0" percent="0" rank="0" text="" dxfId="2424">
      <formula>"В"</formula>
    </cfRule>
  </conditionalFormatting>
  <conditionalFormatting sqref="S24">
    <cfRule type="cellIs" priority="1402" operator="greaterThan" aboveAverage="0" equalAverage="0" bottom="0" percent="0" rank="0" text="" dxfId="2425">
      <formula>0</formula>
    </cfRule>
    <cfRule type="expression" priority="1403" aboveAverage="0" equalAverage="0" bottom="0" percent="0" rank="0" text="" dxfId="2426">
      <formula>S23&gt;0</formula>
    </cfRule>
  </conditionalFormatting>
  <conditionalFormatting sqref="S25">
    <cfRule type="cellIs" priority="1404" operator="equal" aboveAverage="0" equalAverage="0" bottom="0" percent="0" rank="0" text="" dxfId="2427">
      <formula>"В"</formula>
    </cfRule>
  </conditionalFormatting>
  <conditionalFormatting sqref="S25">
    <cfRule type="cellIs" priority="1405" operator="greaterThan" aboveAverage="0" equalAverage="0" bottom="0" percent="0" rank="0" text="" dxfId="2428">
      <formula>0</formula>
    </cfRule>
    <cfRule type="expression" priority="1406" aboveAverage="0" equalAverage="0" bottom="0" percent="0" rank="0" text="" dxfId="2429">
      <formula>S24&gt;0</formula>
    </cfRule>
  </conditionalFormatting>
  <conditionalFormatting sqref="S26">
    <cfRule type="cellIs" priority="1407" operator="equal" aboveAverage="0" equalAverage="0" bottom="0" percent="0" rank="0" text="" dxfId="2430">
      <formula>"В"</formula>
    </cfRule>
  </conditionalFormatting>
  <conditionalFormatting sqref="S26">
    <cfRule type="cellIs" priority="1408" operator="greaterThan" aboveAverage="0" equalAverage="0" bottom="0" percent="0" rank="0" text="" dxfId="2431">
      <formula>0</formula>
    </cfRule>
    <cfRule type="expression" priority="1409" aboveAverage="0" equalAverage="0" bottom="0" percent="0" rank="0" text="" dxfId="2432">
      <formula>S25&gt;0</formula>
    </cfRule>
  </conditionalFormatting>
  <conditionalFormatting sqref="S27">
    <cfRule type="cellIs" priority="1410" operator="equal" aboveAverage="0" equalAverage="0" bottom="0" percent="0" rank="0" text="" dxfId="2433">
      <formula>"В"</formula>
    </cfRule>
  </conditionalFormatting>
  <conditionalFormatting sqref="S27">
    <cfRule type="cellIs" priority="1411" operator="greaterThan" aboveAverage="0" equalAverage="0" bottom="0" percent="0" rank="0" text="" dxfId="2434">
      <formula>0</formula>
    </cfRule>
    <cfRule type="expression" priority="1412" aboveAverage="0" equalAverage="0" bottom="0" percent="0" rank="0" text="" dxfId="2435">
      <formula>S26&gt;0</formula>
    </cfRule>
  </conditionalFormatting>
  <conditionalFormatting sqref="S28">
    <cfRule type="cellIs" priority="1413" operator="equal" aboveAverage="0" equalAverage="0" bottom="0" percent="0" rank="0" text="" dxfId="2436">
      <formula>"В"</formula>
    </cfRule>
  </conditionalFormatting>
  <conditionalFormatting sqref="S28">
    <cfRule type="cellIs" priority="1414" operator="greaterThan" aboveAverage="0" equalAverage="0" bottom="0" percent="0" rank="0" text="" dxfId="2437">
      <formula>0</formula>
    </cfRule>
    <cfRule type="expression" priority="1415" aboveAverage="0" equalAverage="0" bottom="0" percent="0" rank="0" text="" dxfId="2438">
      <formula>S27&gt;0</formula>
    </cfRule>
  </conditionalFormatting>
  <conditionalFormatting sqref="S29">
    <cfRule type="cellIs" priority="1416" operator="equal" aboveAverage="0" equalAverage="0" bottom="0" percent="0" rank="0" text="" dxfId="2439">
      <formula>"В"</formula>
    </cfRule>
  </conditionalFormatting>
  <conditionalFormatting sqref="S29">
    <cfRule type="cellIs" priority="1417" operator="greaterThan" aboveAverage="0" equalAverage="0" bottom="0" percent="0" rank="0" text="" dxfId="2440">
      <formula>0</formula>
    </cfRule>
    <cfRule type="expression" priority="1418" aboveAverage="0" equalAverage="0" bottom="0" percent="0" rank="0" text="" dxfId="2441">
      <formula>S28&gt;0</formula>
    </cfRule>
  </conditionalFormatting>
  <conditionalFormatting sqref="S30">
    <cfRule type="cellIs" priority="1419" operator="equal" aboveAverage="0" equalAverage="0" bottom="0" percent="0" rank="0" text="" dxfId="2442">
      <formula>"В"</formula>
    </cfRule>
  </conditionalFormatting>
  <conditionalFormatting sqref="S30">
    <cfRule type="cellIs" priority="1420" operator="greaterThan" aboveAverage="0" equalAverage="0" bottom="0" percent="0" rank="0" text="" dxfId="2443">
      <formula>0</formula>
    </cfRule>
    <cfRule type="expression" priority="1421" aboveAverage="0" equalAverage="0" bottom="0" percent="0" rank="0" text="" dxfId="2444">
      <formula>S29&gt;0</formula>
    </cfRule>
  </conditionalFormatting>
  <conditionalFormatting sqref="S31">
    <cfRule type="cellIs" priority="1422" operator="equal" aboveAverage="0" equalAverage="0" bottom="0" percent="0" rank="0" text="" dxfId="2445">
      <formula>"В"</formula>
    </cfRule>
  </conditionalFormatting>
  <conditionalFormatting sqref="S31">
    <cfRule type="cellIs" priority="1423" operator="greaterThan" aboveAverage="0" equalAverage="0" bottom="0" percent="0" rank="0" text="" dxfId="2446">
      <formula>0</formula>
    </cfRule>
    <cfRule type="expression" priority="1424" aboveAverage="0" equalAverage="0" bottom="0" percent="0" rank="0" text="" dxfId="2447">
      <formula>S30&gt;0</formula>
    </cfRule>
  </conditionalFormatting>
  <conditionalFormatting sqref="S32">
    <cfRule type="cellIs" priority="1425" operator="equal" aboveAverage="0" equalAverage="0" bottom="0" percent="0" rank="0" text="" dxfId="2448">
      <formula>"В"</formula>
    </cfRule>
  </conditionalFormatting>
  <conditionalFormatting sqref="S32">
    <cfRule type="cellIs" priority="1426" operator="greaterThan" aboveAverage="0" equalAverage="0" bottom="0" percent="0" rank="0" text="" dxfId="2449">
      <formula>0</formula>
    </cfRule>
    <cfRule type="expression" priority="1427" aboveAverage="0" equalAverage="0" bottom="0" percent="0" rank="0" text="" dxfId="2450">
      <formula>S31&gt;0</formula>
    </cfRule>
  </conditionalFormatting>
  <conditionalFormatting sqref="S33">
    <cfRule type="cellIs" priority="1428" operator="equal" aboveAverage="0" equalAverage="0" bottom="0" percent="0" rank="0" text="" dxfId="2451">
      <formula>"В"</formula>
    </cfRule>
  </conditionalFormatting>
  <conditionalFormatting sqref="S33">
    <cfRule type="cellIs" priority="1429" operator="greaterThan" aboveAverage="0" equalAverage="0" bottom="0" percent="0" rank="0" text="" dxfId="2452">
      <formula>0</formula>
    </cfRule>
    <cfRule type="expression" priority="1430" aboveAverage="0" equalAverage="0" bottom="0" percent="0" rank="0" text="" dxfId="2453">
      <formula>S32&gt;0</formula>
    </cfRule>
  </conditionalFormatting>
  <conditionalFormatting sqref="S34">
    <cfRule type="cellIs" priority="1431" operator="equal" aboveAverage="0" equalAverage="0" bottom="0" percent="0" rank="0" text="" dxfId="2454">
      <formula>"В"</formula>
    </cfRule>
  </conditionalFormatting>
  <conditionalFormatting sqref="S34">
    <cfRule type="cellIs" priority="1432" operator="greaterThan" aboveAverage="0" equalAverage="0" bottom="0" percent="0" rank="0" text="" dxfId="2455">
      <formula>0</formula>
    </cfRule>
    <cfRule type="expression" priority="1433" aboveAverage="0" equalAverage="0" bottom="0" percent="0" rank="0" text="" dxfId="2456">
      <formula>S33&gt;0</formula>
    </cfRule>
  </conditionalFormatting>
  <conditionalFormatting sqref="S35">
    <cfRule type="cellIs" priority="1434" operator="equal" aboveAverage="0" equalAverage="0" bottom="0" percent="0" rank="0" text="" dxfId="2457">
      <formula>"В"</formula>
    </cfRule>
  </conditionalFormatting>
  <conditionalFormatting sqref="S35">
    <cfRule type="cellIs" priority="1435" operator="greaterThan" aboveAverage="0" equalAverage="0" bottom="0" percent="0" rank="0" text="" dxfId="2458">
      <formula>0</formula>
    </cfRule>
    <cfRule type="expression" priority="1436" aboveAverage="0" equalAverage="0" bottom="0" percent="0" rank="0" text="" dxfId="2459">
      <formula>S34&gt;0</formula>
    </cfRule>
  </conditionalFormatting>
  <conditionalFormatting sqref="S36">
    <cfRule type="cellIs" priority="1437" operator="equal" aboveAverage="0" equalAverage="0" bottom="0" percent="0" rank="0" text="" dxfId="2460">
      <formula>"В"</formula>
    </cfRule>
  </conditionalFormatting>
  <conditionalFormatting sqref="S36">
    <cfRule type="cellIs" priority="1438" operator="greaterThan" aboveAverage="0" equalAverage="0" bottom="0" percent="0" rank="0" text="" dxfId="2461">
      <formula>0</formula>
    </cfRule>
    <cfRule type="expression" priority="1439" aboveAverage="0" equalAverage="0" bottom="0" percent="0" rank="0" text="" dxfId="2462">
      <formula>S35&gt;0</formula>
    </cfRule>
  </conditionalFormatting>
  <conditionalFormatting sqref="S37">
    <cfRule type="cellIs" priority="1440" operator="equal" aboveAverage="0" equalAverage="0" bottom="0" percent="0" rank="0" text="" dxfId="2463">
      <formula>"В"</formula>
    </cfRule>
  </conditionalFormatting>
  <conditionalFormatting sqref="S37">
    <cfRule type="cellIs" priority="1441" operator="greaterThan" aboveAverage="0" equalAverage="0" bottom="0" percent="0" rank="0" text="" dxfId="2464">
      <formula>0</formula>
    </cfRule>
    <cfRule type="expression" priority="1442" aboveAverage="0" equalAverage="0" bottom="0" percent="0" rank="0" text="" dxfId="2465">
      <formula>S36&gt;0</formula>
    </cfRule>
  </conditionalFormatting>
  <conditionalFormatting sqref="S38">
    <cfRule type="cellIs" priority="1443" operator="equal" aboveAverage="0" equalAverage="0" bottom="0" percent="0" rank="0" text="" dxfId="2466">
      <formula>"В"</formula>
    </cfRule>
  </conditionalFormatting>
  <conditionalFormatting sqref="S38">
    <cfRule type="cellIs" priority="1444" operator="greaterThan" aboveAverage="0" equalAverage="0" bottom="0" percent="0" rank="0" text="" dxfId="2467">
      <formula>0</formula>
    </cfRule>
    <cfRule type="expression" priority="1445" aboveAverage="0" equalAverage="0" bottom="0" percent="0" rank="0" text="" dxfId="2468">
      <formula>S37&gt;0</formula>
    </cfRule>
  </conditionalFormatting>
  <conditionalFormatting sqref="S39">
    <cfRule type="cellIs" priority="1446" operator="equal" aboveAverage="0" equalAverage="0" bottom="0" percent="0" rank="0" text="" dxfId="2469">
      <formula>"В"</formula>
    </cfRule>
  </conditionalFormatting>
  <conditionalFormatting sqref="S39">
    <cfRule type="cellIs" priority="1447" operator="greaterThan" aboveAverage="0" equalAverage="0" bottom="0" percent="0" rank="0" text="" dxfId="2470">
      <formula>0</formula>
    </cfRule>
    <cfRule type="expression" priority="1448" aboveAverage="0" equalAverage="0" bottom="0" percent="0" rank="0" text="" dxfId="2471">
      <formula>S38&gt;0</formula>
    </cfRule>
  </conditionalFormatting>
  <conditionalFormatting sqref="S40">
    <cfRule type="cellIs" priority="1449" operator="equal" aboveAverage="0" equalAverage="0" bottom="0" percent="0" rank="0" text="" dxfId="2472">
      <formula>"В"</formula>
    </cfRule>
  </conditionalFormatting>
  <conditionalFormatting sqref="S40">
    <cfRule type="cellIs" priority="1450" operator="greaterThan" aboveAverage="0" equalAverage="0" bottom="0" percent="0" rank="0" text="" dxfId="2473">
      <formula>0</formula>
    </cfRule>
    <cfRule type="expression" priority="1451" aboveAverage="0" equalAverage="0" bottom="0" percent="0" rank="0" text="" dxfId="2474">
      <formula>S39&gt;0</formula>
    </cfRule>
  </conditionalFormatting>
  <conditionalFormatting sqref="S41">
    <cfRule type="cellIs" priority="1452" operator="equal" aboveAverage="0" equalAverage="0" bottom="0" percent="0" rank="0" text="" dxfId="2475">
      <formula>"В"</formula>
    </cfRule>
  </conditionalFormatting>
  <conditionalFormatting sqref="S41">
    <cfRule type="cellIs" priority="1453" operator="greaterThan" aboveAverage="0" equalAverage="0" bottom="0" percent="0" rank="0" text="" dxfId="2476">
      <formula>0</formula>
    </cfRule>
    <cfRule type="expression" priority="1454" aboveAverage="0" equalAverage="0" bottom="0" percent="0" rank="0" text="" dxfId="2477">
      <formula>S40&gt;0</formula>
    </cfRule>
  </conditionalFormatting>
  <conditionalFormatting sqref="S42">
    <cfRule type="cellIs" priority="1455" operator="equal" aboveAverage="0" equalAverage="0" bottom="0" percent="0" rank="0" text="" dxfId="2478">
      <formula>"В"</formula>
    </cfRule>
  </conditionalFormatting>
  <conditionalFormatting sqref="S42">
    <cfRule type="cellIs" priority="1456" operator="greaterThan" aboveAverage="0" equalAverage="0" bottom="0" percent="0" rank="0" text="" dxfId="2479">
      <formula>0</formula>
    </cfRule>
    <cfRule type="expression" priority="1457" aboveAverage="0" equalAverage="0" bottom="0" percent="0" rank="0" text="" dxfId="2480">
      <formula>S41&gt;0</formula>
    </cfRule>
  </conditionalFormatting>
  <conditionalFormatting sqref="S43">
    <cfRule type="cellIs" priority="1458" operator="equal" aboveAverage="0" equalAverage="0" bottom="0" percent="0" rank="0" text="" dxfId="2481">
      <formula>"В"</formula>
    </cfRule>
  </conditionalFormatting>
  <conditionalFormatting sqref="S43">
    <cfRule type="cellIs" priority="1459" operator="greaterThan" aboveAverage="0" equalAverage="0" bottom="0" percent="0" rank="0" text="" dxfId="2482">
      <formula>0</formula>
    </cfRule>
    <cfRule type="expression" priority="1460" aboveAverage="0" equalAverage="0" bottom="0" percent="0" rank="0" text="" dxfId="2483">
      <formula>S42&gt;0</formula>
    </cfRule>
  </conditionalFormatting>
  <conditionalFormatting sqref="S44">
    <cfRule type="cellIs" priority="1461" operator="equal" aboveAverage="0" equalAverage="0" bottom="0" percent="0" rank="0" text="" dxfId="2484">
      <formula>"В"</formula>
    </cfRule>
  </conditionalFormatting>
  <conditionalFormatting sqref="S44">
    <cfRule type="cellIs" priority="1462" operator="greaterThan" aboveAverage="0" equalAverage="0" bottom="0" percent="0" rank="0" text="" dxfId="2485">
      <formula>0</formula>
    </cfRule>
    <cfRule type="expression" priority="1463" aboveAverage="0" equalAverage="0" bottom="0" percent="0" rank="0" text="" dxfId="2486">
      <formula>S43&gt;0</formula>
    </cfRule>
  </conditionalFormatting>
  <conditionalFormatting sqref="S45">
    <cfRule type="cellIs" priority="1464" operator="equal" aboveAverage="0" equalAverage="0" bottom="0" percent="0" rank="0" text="" dxfId="2487">
      <formula>"В"</formula>
    </cfRule>
  </conditionalFormatting>
  <conditionalFormatting sqref="S45">
    <cfRule type="cellIs" priority="1465" operator="greaterThan" aboveAverage="0" equalAverage="0" bottom="0" percent="0" rank="0" text="" dxfId="2488">
      <formula>0</formula>
    </cfRule>
    <cfRule type="expression" priority="1466" aboveAverage="0" equalAverage="0" bottom="0" percent="0" rank="0" text="" dxfId="2489">
      <formula>S44&gt;0</formula>
    </cfRule>
  </conditionalFormatting>
  <conditionalFormatting sqref="S46">
    <cfRule type="cellIs" priority="1467" operator="equal" aboveAverage="0" equalAverage="0" bottom="0" percent="0" rank="0" text="" dxfId="2490">
      <formula>"В"</formula>
    </cfRule>
  </conditionalFormatting>
  <conditionalFormatting sqref="S46">
    <cfRule type="cellIs" priority="1468" operator="greaterThan" aboveAverage="0" equalAverage="0" bottom="0" percent="0" rank="0" text="" dxfId="2491">
      <formula>0</formula>
    </cfRule>
    <cfRule type="expression" priority="1469" aboveAverage="0" equalAverage="0" bottom="0" percent="0" rank="0" text="" dxfId="2492">
      <formula>S45&gt;0</formula>
    </cfRule>
  </conditionalFormatting>
  <conditionalFormatting sqref="S47">
    <cfRule type="cellIs" priority="1470" operator="equal" aboveAverage="0" equalAverage="0" bottom="0" percent="0" rank="0" text="" dxfId="2493">
      <formula>"В"</formula>
    </cfRule>
  </conditionalFormatting>
  <conditionalFormatting sqref="S47">
    <cfRule type="cellIs" priority="1471" operator="greaterThan" aboveAverage="0" equalAverage="0" bottom="0" percent="0" rank="0" text="" dxfId="2494">
      <formula>0</formula>
    </cfRule>
    <cfRule type="expression" priority="1472" aboveAverage="0" equalAverage="0" bottom="0" percent="0" rank="0" text="" dxfId="2495">
      <formula>S46&gt;0</formula>
    </cfRule>
  </conditionalFormatting>
  <conditionalFormatting sqref="S48">
    <cfRule type="cellIs" priority="1473" operator="equal" aboveAverage="0" equalAverage="0" bottom="0" percent="0" rank="0" text="" dxfId="2496">
      <formula>"В"</formula>
    </cfRule>
  </conditionalFormatting>
  <conditionalFormatting sqref="S48">
    <cfRule type="cellIs" priority="1474" operator="greaterThan" aboveAverage="0" equalAverage="0" bottom="0" percent="0" rank="0" text="" dxfId="2497">
      <formula>0</formula>
    </cfRule>
    <cfRule type="expression" priority="1475" aboveAverage="0" equalAverage="0" bottom="0" percent="0" rank="0" text="" dxfId="2498">
      <formula>S47&gt;0</formula>
    </cfRule>
  </conditionalFormatting>
  <conditionalFormatting sqref="S49">
    <cfRule type="cellIs" priority="1476" operator="equal" aboveAverage="0" equalAverage="0" bottom="0" percent="0" rank="0" text="" dxfId="2499">
      <formula>"В"</formula>
    </cfRule>
  </conditionalFormatting>
  <conditionalFormatting sqref="S49">
    <cfRule type="cellIs" priority="1477" operator="greaterThan" aboveAverage="0" equalAverage="0" bottom="0" percent="0" rank="0" text="" dxfId="2500">
      <formula>0</formula>
    </cfRule>
    <cfRule type="expression" priority="1478" aboveAverage="0" equalAverage="0" bottom="0" percent="0" rank="0" text="" dxfId="2501">
      <formula>S48&gt;0</formula>
    </cfRule>
  </conditionalFormatting>
  <conditionalFormatting sqref="T22">
    <cfRule type="cellIs" priority="1479" operator="equal" aboveAverage="0" equalAverage="0" bottom="0" percent="0" rank="0" text="" dxfId="2502">
      <formula>"В"</formula>
    </cfRule>
  </conditionalFormatting>
  <conditionalFormatting sqref="T22">
    <cfRule type="cellIs" priority="1480" operator="greaterThan" aboveAverage="0" equalAverage="0" bottom="0" percent="0" rank="0" text="" dxfId="2503">
      <formula>0</formula>
    </cfRule>
    <cfRule type="expression" priority="1481" aboveAverage="0" equalAverage="0" bottom="0" percent="0" rank="0" text="" dxfId="2504">
      <formula>T21&gt;0</formula>
    </cfRule>
  </conditionalFormatting>
  <conditionalFormatting sqref="T23">
    <cfRule type="cellIs" priority="1482" operator="equal" aboveAverage="0" equalAverage="0" bottom="0" percent="0" rank="0" text="" dxfId="2505">
      <formula>"В"</formula>
    </cfRule>
  </conditionalFormatting>
  <conditionalFormatting sqref="T23">
    <cfRule type="cellIs" priority="1483" operator="greaterThan" aboveAverage="0" equalAverage="0" bottom="0" percent="0" rank="0" text="" dxfId="2506">
      <formula>0</formula>
    </cfRule>
    <cfRule type="expression" priority="1484" aboveAverage="0" equalAverage="0" bottom="0" percent="0" rank="0" text="" dxfId="2507">
      <formula>T22&gt;0</formula>
    </cfRule>
  </conditionalFormatting>
  <conditionalFormatting sqref="T24">
    <cfRule type="cellIs" priority="1485" operator="equal" aboveAverage="0" equalAverage="0" bottom="0" percent="0" rank="0" text="" dxfId="2508">
      <formula>"В"</formula>
    </cfRule>
  </conditionalFormatting>
  <conditionalFormatting sqref="T24">
    <cfRule type="cellIs" priority="1486" operator="greaterThan" aboveAverage="0" equalAverage="0" bottom="0" percent="0" rank="0" text="" dxfId="2509">
      <formula>0</formula>
    </cfRule>
    <cfRule type="expression" priority="1487" aboveAverage="0" equalAverage="0" bottom="0" percent="0" rank="0" text="" dxfId="2510">
      <formula>T23&gt;0</formula>
    </cfRule>
  </conditionalFormatting>
  <conditionalFormatting sqref="T25">
    <cfRule type="cellIs" priority="1488" operator="equal" aboveAverage="0" equalAverage="0" bottom="0" percent="0" rank="0" text="" dxfId="2511">
      <formula>"В"</formula>
    </cfRule>
  </conditionalFormatting>
  <conditionalFormatting sqref="T25">
    <cfRule type="cellIs" priority="1489" operator="greaterThan" aboveAverage="0" equalAverage="0" bottom="0" percent="0" rank="0" text="" dxfId="2512">
      <formula>0</formula>
    </cfRule>
    <cfRule type="expression" priority="1490" aboveAverage="0" equalAverage="0" bottom="0" percent="0" rank="0" text="" dxfId="2513">
      <formula>T24&gt;0</formula>
    </cfRule>
  </conditionalFormatting>
  <conditionalFormatting sqref="T26">
    <cfRule type="cellIs" priority="1491" operator="equal" aboveAverage="0" equalAverage="0" bottom="0" percent="0" rank="0" text="" dxfId="2514">
      <formula>"В"</formula>
    </cfRule>
  </conditionalFormatting>
  <conditionalFormatting sqref="T26">
    <cfRule type="cellIs" priority="1492" operator="greaterThan" aboveAverage="0" equalAverage="0" bottom="0" percent="0" rank="0" text="" dxfId="2515">
      <formula>0</formula>
    </cfRule>
    <cfRule type="expression" priority="1493" aboveAverage="0" equalAverage="0" bottom="0" percent="0" rank="0" text="" dxfId="2516">
      <formula>T25&gt;0</formula>
    </cfRule>
  </conditionalFormatting>
  <conditionalFormatting sqref="T27">
    <cfRule type="cellIs" priority="1494" operator="equal" aboveAverage="0" equalAverage="0" bottom="0" percent="0" rank="0" text="" dxfId="2517">
      <formula>"В"</formula>
    </cfRule>
  </conditionalFormatting>
  <conditionalFormatting sqref="T27">
    <cfRule type="cellIs" priority="1495" operator="greaterThan" aboveAverage="0" equalAverage="0" bottom="0" percent="0" rank="0" text="" dxfId="2518">
      <formula>0</formula>
    </cfRule>
    <cfRule type="expression" priority="1496" aboveAverage="0" equalAverage="0" bottom="0" percent="0" rank="0" text="" dxfId="2519">
      <formula>T26&gt;0</formula>
    </cfRule>
  </conditionalFormatting>
  <conditionalFormatting sqref="T28">
    <cfRule type="cellIs" priority="1497" operator="equal" aboveAverage="0" equalAverage="0" bottom="0" percent="0" rank="0" text="" dxfId="2520">
      <formula>"В"</formula>
    </cfRule>
  </conditionalFormatting>
  <conditionalFormatting sqref="T28">
    <cfRule type="cellIs" priority="1498" operator="greaterThan" aboveAverage="0" equalAverage="0" bottom="0" percent="0" rank="0" text="" dxfId="2521">
      <formula>0</formula>
    </cfRule>
    <cfRule type="expression" priority="1499" aboveAverage="0" equalAverage="0" bottom="0" percent="0" rank="0" text="" dxfId="2522">
      <formula>T27&gt;0</formula>
    </cfRule>
  </conditionalFormatting>
  <conditionalFormatting sqref="T29">
    <cfRule type="cellIs" priority="1500" operator="equal" aboveAverage="0" equalAverage="0" bottom="0" percent="0" rank="0" text="" dxfId="2523">
      <formula>"В"</formula>
    </cfRule>
  </conditionalFormatting>
  <conditionalFormatting sqref="T29">
    <cfRule type="cellIs" priority="1501" operator="greaterThan" aboveAverage="0" equalAverage="0" bottom="0" percent="0" rank="0" text="" dxfId="2524">
      <formula>0</formula>
    </cfRule>
    <cfRule type="expression" priority="1502" aboveAverage="0" equalAverage="0" bottom="0" percent="0" rank="0" text="" dxfId="2525">
      <formula>T28&gt;0</formula>
    </cfRule>
  </conditionalFormatting>
  <conditionalFormatting sqref="T30">
    <cfRule type="cellIs" priority="1503" operator="equal" aboveAverage="0" equalAverage="0" bottom="0" percent="0" rank="0" text="" dxfId="2526">
      <formula>"В"</formula>
    </cfRule>
  </conditionalFormatting>
  <conditionalFormatting sqref="T30">
    <cfRule type="cellIs" priority="1504" operator="greaterThan" aboveAverage="0" equalAverage="0" bottom="0" percent="0" rank="0" text="" dxfId="2527">
      <formula>0</formula>
    </cfRule>
    <cfRule type="expression" priority="1505" aboveAverage="0" equalAverage="0" bottom="0" percent="0" rank="0" text="" dxfId="2528">
      <formula>T29&gt;0</formula>
    </cfRule>
  </conditionalFormatting>
  <conditionalFormatting sqref="T31">
    <cfRule type="cellIs" priority="1506" operator="equal" aboveAverage="0" equalAverage="0" bottom="0" percent="0" rank="0" text="" dxfId="2529">
      <formula>"В"</formula>
    </cfRule>
  </conditionalFormatting>
  <conditionalFormatting sqref="T31">
    <cfRule type="cellIs" priority="1507" operator="greaterThan" aboveAverage="0" equalAverage="0" bottom="0" percent="0" rank="0" text="" dxfId="2530">
      <formula>0</formula>
    </cfRule>
    <cfRule type="expression" priority="1508" aboveAverage="0" equalAverage="0" bottom="0" percent="0" rank="0" text="" dxfId="2531">
      <formula>T30&gt;0</formula>
    </cfRule>
  </conditionalFormatting>
  <conditionalFormatting sqref="T32">
    <cfRule type="cellIs" priority="1509" operator="equal" aboveAverage="0" equalAverage="0" bottom="0" percent="0" rank="0" text="" dxfId="2532">
      <formula>"В"</formula>
    </cfRule>
  </conditionalFormatting>
  <conditionalFormatting sqref="T32">
    <cfRule type="cellIs" priority="1510" operator="greaterThan" aboveAverage="0" equalAverage="0" bottom="0" percent="0" rank="0" text="" dxfId="2533">
      <formula>0</formula>
    </cfRule>
    <cfRule type="expression" priority="1511" aboveAverage="0" equalAverage="0" bottom="0" percent="0" rank="0" text="" dxfId="2534">
      <formula>T31&gt;0</formula>
    </cfRule>
  </conditionalFormatting>
  <conditionalFormatting sqref="T33">
    <cfRule type="cellIs" priority="1512" operator="equal" aboveAverage="0" equalAverage="0" bottom="0" percent="0" rank="0" text="" dxfId="2535">
      <formula>"В"</formula>
    </cfRule>
  </conditionalFormatting>
  <conditionalFormatting sqref="T33">
    <cfRule type="cellIs" priority="1513" operator="greaterThan" aboveAverage="0" equalAverage="0" bottom="0" percent="0" rank="0" text="" dxfId="2536">
      <formula>0</formula>
    </cfRule>
    <cfRule type="expression" priority="1514" aboveAverage="0" equalAverage="0" bottom="0" percent="0" rank="0" text="" dxfId="2537">
      <formula>T32&gt;0</formula>
    </cfRule>
  </conditionalFormatting>
  <conditionalFormatting sqref="T34">
    <cfRule type="cellIs" priority="1515" operator="equal" aboveAverage="0" equalAverage="0" bottom="0" percent="0" rank="0" text="" dxfId="2538">
      <formula>"В"</formula>
    </cfRule>
  </conditionalFormatting>
  <conditionalFormatting sqref="T34">
    <cfRule type="cellIs" priority="1516" operator="greaterThan" aboveAverage="0" equalAverage="0" bottom="0" percent="0" rank="0" text="" dxfId="2539">
      <formula>0</formula>
    </cfRule>
    <cfRule type="expression" priority="1517" aboveAverage="0" equalAverage="0" bottom="0" percent="0" rank="0" text="" dxfId="2540">
      <formula>T33&gt;0</formula>
    </cfRule>
  </conditionalFormatting>
  <conditionalFormatting sqref="T35">
    <cfRule type="cellIs" priority="1518" operator="equal" aboveAverage="0" equalAverage="0" bottom="0" percent="0" rank="0" text="" dxfId="2541">
      <formula>"В"</formula>
    </cfRule>
  </conditionalFormatting>
  <conditionalFormatting sqref="T35">
    <cfRule type="cellIs" priority="1519" operator="greaterThan" aboveAverage="0" equalAverage="0" bottom="0" percent="0" rank="0" text="" dxfId="2542">
      <formula>0</formula>
    </cfRule>
    <cfRule type="expression" priority="1520" aboveAverage="0" equalAverage="0" bottom="0" percent="0" rank="0" text="" dxfId="2543">
      <formula>T34&gt;0</formula>
    </cfRule>
  </conditionalFormatting>
  <conditionalFormatting sqref="T36">
    <cfRule type="cellIs" priority="1521" operator="equal" aboveAverage="0" equalAverage="0" bottom="0" percent="0" rank="0" text="" dxfId="2544">
      <formula>"В"</formula>
    </cfRule>
  </conditionalFormatting>
  <conditionalFormatting sqref="T36">
    <cfRule type="cellIs" priority="1522" operator="greaterThan" aboveAverage="0" equalAverage="0" bottom="0" percent="0" rank="0" text="" dxfId="2545">
      <formula>0</formula>
    </cfRule>
    <cfRule type="expression" priority="1523" aboveAverage="0" equalAverage="0" bottom="0" percent="0" rank="0" text="" dxfId="2546">
      <formula>T35&gt;0</formula>
    </cfRule>
  </conditionalFormatting>
  <conditionalFormatting sqref="T37">
    <cfRule type="cellIs" priority="1524" operator="equal" aboveAverage="0" equalAverage="0" bottom="0" percent="0" rank="0" text="" dxfId="2547">
      <formula>"В"</formula>
    </cfRule>
  </conditionalFormatting>
  <conditionalFormatting sqref="T37">
    <cfRule type="cellIs" priority="1525" operator="greaterThan" aboveAverage="0" equalAverage="0" bottom="0" percent="0" rank="0" text="" dxfId="2548">
      <formula>0</formula>
    </cfRule>
    <cfRule type="expression" priority="1526" aboveAverage="0" equalAverage="0" bottom="0" percent="0" rank="0" text="" dxfId="2549">
      <formula>T36&gt;0</formula>
    </cfRule>
  </conditionalFormatting>
  <conditionalFormatting sqref="T38">
    <cfRule type="cellIs" priority="1527" operator="equal" aboveAverage="0" equalAverage="0" bottom="0" percent="0" rank="0" text="" dxfId="2550">
      <formula>"В"</formula>
    </cfRule>
  </conditionalFormatting>
  <conditionalFormatting sqref="T38">
    <cfRule type="cellIs" priority="1528" operator="greaterThan" aboveAverage="0" equalAverage="0" bottom="0" percent="0" rank="0" text="" dxfId="2551">
      <formula>0</formula>
    </cfRule>
    <cfRule type="expression" priority="1529" aboveAverage="0" equalAverage="0" bottom="0" percent="0" rank="0" text="" dxfId="2552">
      <formula>T37&gt;0</formula>
    </cfRule>
  </conditionalFormatting>
  <conditionalFormatting sqref="T39">
    <cfRule type="cellIs" priority="1530" operator="equal" aboveAverage="0" equalAverage="0" bottom="0" percent="0" rank="0" text="" dxfId="2553">
      <formula>"В"</formula>
    </cfRule>
  </conditionalFormatting>
  <conditionalFormatting sqref="T39">
    <cfRule type="cellIs" priority="1531" operator="greaterThan" aboveAverage="0" equalAverage="0" bottom="0" percent="0" rank="0" text="" dxfId="2554">
      <formula>0</formula>
    </cfRule>
    <cfRule type="expression" priority="1532" aboveAverage="0" equalAverage="0" bottom="0" percent="0" rank="0" text="" dxfId="2555">
      <formula>T38&gt;0</formula>
    </cfRule>
  </conditionalFormatting>
  <conditionalFormatting sqref="T40">
    <cfRule type="cellIs" priority="1533" operator="equal" aboveAverage="0" equalAverage="0" bottom="0" percent="0" rank="0" text="" dxfId="2556">
      <formula>"В"</formula>
    </cfRule>
  </conditionalFormatting>
  <conditionalFormatting sqref="T40">
    <cfRule type="cellIs" priority="1534" operator="greaterThan" aboveAverage="0" equalAverage="0" bottom="0" percent="0" rank="0" text="" dxfId="2557">
      <formula>0</formula>
    </cfRule>
    <cfRule type="expression" priority="1535" aboveAverage="0" equalAverage="0" bottom="0" percent="0" rank="0" text="" dxfId="2558">
      <formula>T39&gt;0</formula>
    </cfRule>
  </conditionalFormatting>
  <conditionalFormatting sqref="T41">
    <cfRule type="cellIs" priority="1536" operator="equal" aboveAverage="0" equalAverage="0" bottom="0" percent="0" rank="0" text="" dxfId="2559">
      <formula>"В"</formula>
    </cfRule>
  </conditionalFormatting>
  <conditionalFormatting sqref="T41">
    <cfRule type="cellIs" priority="1537" operator="greaterThan" aboveAverage="0" equalAverage="0" bottom="0" percent="0" rank="0" text="" dxfId="2560">
      <formula>0</formula>
    </cfRule>
    <cfRule type="expression" priority="1538" aboveAverage="0" equalAverage="0" bottom="0" percent="0" rank="0" text="" dxfId="2561">
      <formula>T40&gt;0</formula>
    </cfRule>
  </conditionalFormatting>
  <conditionalFormatting sqref="T42">
    <cfRule type="cellIs" priority="1539" operator="equal" aboveAverage="0" equalAverage="0" bottom="0" percent="0" rank="0" text="" dxfId="2562">
      <formula>"В"</formula>
    </cfRule>
  </conditionalFormatting>
  <conditionalFormatting sqref="T42">
    <cfRule type="cellIs" priority="1540" operator="greaterThan" aboveAverage="0" equalAverage="0" bottom="0" percent="0" rank="0" text="" dxfId="2563">
      <formula>0</formula>
    </cfRule>
    <cfRule type="expression" priority="1541" aboveAverage="0" equalAverage="0" bottom="0" percent="0" rank="0" text="" dxfId="2564">
      <formula>T41&gt;0</formula>
    </cfRule>
  </conditionalFormatting>
  <conditionalFormatting sqref="T43">
    <cfRule type="cellIs" priority="1542" operator="equal" aboveAverage="0" equalAverage="0" bottom="0" percent="0" rank="0" text="" dxfId="2565">
      <formula>"В"</formula>
    </cfRule>
  </conditionalFormatting>
  <conditionalFormatting sqref="T43">
    <cfRule type="cellIs" priority="1543" operator="greaterThan" aboveAverage="0" equalAverage="0" bottom="0" percent="0" rank="0" text="" dxfId="2566">
      <formula>0</formula>
    </cfRule>
    <cfRule type="expression" priority="1544" aboveAverage="0" equalAverage="0" bottom="0" percent="0" rank="0" text="" dxfId="2567">
      <formula>T42&gt;0</formula>
    </cfRule>
  </conditionalFormatting>
  <conditionalFormatting sqref="T44">
    <cfRule type="cellIs" priority="1545" operator="equal" aboveAverage="0" equalAverage="0" bottom="0" percent="0" rank="0" text="" dxfId="2568">
      <formula>"В"</formula>
    </cfRule>
  </conditionalFormatting>
  <conditionalFormatting sqref="T44">
    <cfRule type="cellIs" priority="1546" operator="greaterThan" aboveAverage="0" equalAverage="0" bottom="0" percent="0" rank="0" text="" dxfId="2569">
      <formula>0</formula>
    </cfRule>
    <cfRule type="expression" priority="1547" aboveAverage="0" equalAverage="0" bottom="0" percent="0" rank="0" text="" dxfId="2570">
      <formula>T43&gt;0</formula>
    </cfRule>
  </conditionalFormatting>
  <conditionalFormatting sqref="T45">
    <cfRule type="cellIs" priority="1548" operator="equal" aboveAverage="0" equalAverage="0" bottom="0" percent="0" rank="0" text="" dxfId="2571">
      <formula>"В"</formula>
    </cfRule>
  </conditionalFormatting>
  <conditionalFormatting sqref="T45">
    <cfRule type="cellIs" priority="1549" operator="greaterThan" aboveAverage="0" equalAverage="0" bottom="0" percent="0" rank="0" text="" dxfId="2572">
      <formula>0</formula>
    </cfRule>
    <cfRule type="expression" priority="1550" aboveAverage="0" equalAverage="0" bottom="0" percent="0" rank="0" text="" dxfId="2573">
      <formula>T44&gt;0</formula>
    </cfRule>
  </conditionalFormatting>
  <conditionalFormatting sqref="T46">
    <cfRule type="cellIs" priority="1551" operator="equal" aboveAverage="0" equalAverage="0" bottom="0" percent="0" rank="0" text="" dxfId="2574">
      <formula>"В"</formula>
    </cfRule>
  </conditionalFormatting>
  <conditionalFormatting sqref="T46">
    <cfRule type="cellIs" priority="1552" operator="greaterThan" aboveAverage="0" equalAverage="0" bottom="0" percent="0" rank="0" text="" dxfId="2575">
      <formula>0</formula>
    </cfRule>
    <cfRule type="expression" priority="1553" aboveAverage="0" equalAverage="0" bottom="0" percent="0" rank="0" text="" dxfId="2576">
      <formula>T45&gt;0</formula>
    </cfRule>
  </conditionalFormatting>
  <conditionalFormatting sqref="T47">
    <cfRule type="cellIs" priority="1554" operator="equal" aboveAverage="0" equalAverage="0" bottom="0" percent="0" rank="0" text="" dxfId="2577">
      <formula>"В"</formula>
    </cfRule>
  </conditionalFormatting>
  <conditionalFormatting sqref="T47">
    <cfRule type="cellIs" priority="1555" operator="greaterThan" aboveAverage="0" equalAverage="0" bottom="0" percent="0" rank="0" text="" dxfId="2578">
      <formula>0</formula>
    </cfRule>
    <cfRule type="expression" priority="1556" aboveAverage="0" equalAverage="0" bottom="0" percent="0" rank="0" text="" dxfId="2579">
      <formula>T46&gt;0</formula>
    </cfRule>
  </conditionalFormatting>
  <conditionalFormatting sqref="T48">
    <cfRule type="cellIs" priority="1557" operator="equal" aboveAverage="0" equalAverage="0" bottom="0" percent="0" rank="0" text="" dxfId="2580">
      <formula>"В"</formula>
    </cfRule>
  </conditionalFormatting>
  <conditionalFormatting sqref="T48">
    <cfRule type="cellIs" priority="1558" operator="greaterThan" aboveAverage="0" equalAverage="0" bottom="0" percent="0" rank="0" text="" dxfId="2581">
      <formula>0</formula>
    </cfRule>
    <cfRule type="expression" priority="1559" aboveAverage="0" equalAverage="0" bottom="0" percent="0" rank="0" text="" dxfId="2582">
      <formula>T47&gt;0</formula>
    </cfRule>
  </conditionalFormatting>
  <conditionalFormatting sqref="T49">
    <cfRule type="cellIs" priority="1560" operator="equal" aboveAverage="0" equalAverage="0" bottom="0" percent="0" rank="0" text="" dxfId="2583">
      <formula>"В"</formula>
    </cfRule>
  </conditionalFormatting>
  <conditionalFormatting sqref="T49">
    <cfRule type="cellIs" priority="1561" operator="greaterThan" aboveAverage="0" equalAverage="0" bottom="0" percent="0" rank="0" text="" dxfId="2584">
      <formula>0</formula>
    </cfRule>
    <cfRule type="expression" priority="1562" aboveAverage="0" equalAverage="0" bottom="0" percent="0" rank="0" text="" dxfId="2585">
      <formula>T48&gt;0</formula>
    </cfRule>
  </conditionalFormatting>
  <conditionalFormatting sqref="U22">
    <cfRule type="cellIs" priority="1563" operator="equal" aboveAverage="0" equalAverage="0" bottom="0" percent="0" rank="0" text="" dxfId="2586">
      <formula>"В"</formula>
    </cfRule>
  </conditionalFormatting>
  <conditionalFormatting sqref="U22">
    <cfRule type="cellIs" priority="1564" operator="greaterThan" aboveAverage="0" equalAverage="0" bottom="0" percent="0" rank="0" text="" dxfId="2587">
      <formula>0</formula>
    </cfRule>
    <cfRule type="expression" priority="1565" aboveAverage="0" equalAverage="0" bottom="0" percent="0" rank="0" text="" dxfId="2588">
      <formula>U21&gt;0</formula>
    </cfRule>
  </conditionalFormatting>
  <conditionalFormatting sqref="U23">
    <cfRule type="cellIs" priority="1566" operator="equal" aboveAverage="0" equalAverage="0" bottom="0" percent="0" rank="0" text="" dxfId="2589">
      <formula>"В"</formula>
    </cfRule>
  </conditionalFormatting>
  <conditionalFormatting sqref="U23">
    <cfRule type="cellIs" priority="1567" operator="greaterThan" aboveAverage="0" equalAverage="0" bottom="0" percent="0" rank="0" text="" dxfId="2590">
      <formula>0</formula>
    </cfRule>
    <cfRule type="expression" priority="1568" aboveAverage="0" equalAverage="0" bottom="0" percent="0" rank="0" text="" dxfId="2591">
      <formula>U22&gt;0</formula>
    </cfRule>
  </conditionalFormatting>
  <conditionalFormatting sqref="U24">
    <cfRule type="cellIs" priority="1569" operator="equal" aboveAverage="0" equalAverage="0" bottom="0" percent="0" rank="0" text="" dxfId="2592">
      <formula>"В"</formula>
    </cfRule>
  </conditionalFormatting>
  <conditionalFormatting sqref="U24">
    <cfRule type="cellIs" priority="1570" operator="greaterThan" aboveAverage="0" equalAverage="0" bottom="0" percent="0" rank="0" text="" dxfId="2593">
      <formula>0</formula>
    </cfRule>
    <cfRule type="expression" priority="1571" aboveAverage="0" equalAverage="0" bottom="0" percent="0" rank="0" text="" dxfId="2594">
      <formula>U23&gt;0</formula>
    </cfRule>
  </conditionalFormatting>
  <conditionalFormatting sqref="U25">
    <cfRule type="cellIs" priority="1572" operator="equal" aboveAverage="0" equalAverage="0" bottom="0" percent="0" rank="0" text="" dxfId="2595">
      <formula>"В"</formula>
    </cfRule>
  </conditionalFormatting>
  <conditionalFormatting sqref="U25">
    <cfRule type="cellIs" priority="1573" operator="greaterThan" aboveAverage="0" equalAverage="0" bottom="0" percent="0" rank="0" text="" dxfId="2596">
      <formula>0</formula>
    </cfRule>
    <cfRule type="expression" priority="1574" aboveAverage="0" equalAverage="0" bottom="0" percent="0" rank="0" text="" dxfId="2597">
      <formula>U24&gt;0</formula>
    </cfRule>
  </conditionalFormatting>
  <conditionalFormatting sqref="U26">
    <cfRule type="cellIs" priority="1575" operator="equal" aboveAverage="0" equalAverage="0" bottom="0" percent="0" rank="0" text="" dxfId="2598">
      <formula>"В"</formula>
    </cfRule>
  </conditionalFormatting>
  <conditionalFormatting sqref="U26">
    <cfRule type="cellIs" priority="1576" operator="greaterThan" aboveAverage="0" equalAverage="0" bottom="0" percent="0" rank="0" text="" dxfId="2599">
      <formula>0</formula>
    </cfRule>
    <cfRule type="expression" priority="1577" aboveAverage="0" equalAverage="0" bottom="0" percent="0" rank="0" text="" dxfId="2600">
      <formula>U25&gt;0</formula>
    </cfRule>
  </conditionalFormatting>
  <conditionalFormatting sqref="U27">
    <cfRule type="cellIs" priority="1578" operator="equal" aboveAverage="0" equalAverage="0" bottom="0" percent="0" rank="0" text="" dxfId="2601">
      <formula>"В"</formula>
    </cfRule>
  </conditionalFormatting>
  <conditionalFormatting sqref="U27">
    <cfRule type="cellIs" priority="1579" operator="greaterThan" aboveAverage="0" equalAverage="0" bottom="0" percent="0" rank="0" text="" dxfId="2602">
      <formula>0</formula>
    </cfRule>
    <cfRule type="expression" priority="1580" aboveAverage="0" equalAverage="0" bottom="0" percent="0" rank="0" text="" dxfId="2603">
      <formula>U26&gt;0</formula>
    </cfRule>
  </conditionalFormatting>
  <conditionalFormatting sqref="U28">
    <cfRule type="cellIs" priority="1581" operator="equal" aboveAverage="0" equalAverage="0" bottom="0" percent="0" rank="0" text="" dxfId="2604">
      <formula>"В"</formula>
    </cfRule>
  </conditionalFormatting>
  <conditionalFormatting sqref="U28">
    <cfRule type="cellIs" priority="1582" operator="greaterThan" aboveAverage="0" equalAverage="0" bottom="0" percent="0" rank="0" text="" dxfId="2605">
      <formula>0</formula>
    </cfRule>
    <cfRule type="expression" priority="1583" aboveAverage="0" equalAverage="0" bottom="0" percent="0" rank="0" text="" dxfId="2606">
      <formula>U27&gt;0</formula>
    </cfRule>
  </conditionalFormatting>
  <conditionalFormatting sqref="U29">
    <cfRule type="cellIs" priority="1584" operator="equal" aboveAverage="0" equalAverage="0" bottom="0" percent="0" rank="0" text="" dxfId="2607">
      <formula>"В"</formula>
    </cfRule>
  </conditionalFormatting>
  <conditionalFormatting sqref="U29">
    <cfRule type="cellIs" priority="1585" operator="greaterThan" aboveAverage="0" equalAverage="0" bottom="0" percent="0" rank="0" text="" dxfId="2608">
      <formula>0</formula>
    </cfRule>
    <cfRule type="expression" priority="1586" aboveAverage="0" equalAverage="0" bottom="0" percent="0" rank="0" text="" dxfId="2609">
      <formula>U28&gt;0</formula>
    </cfRule>
  </conditionalFormatting>
  <conditionalFormatting sqref="U30">
    <cfRule type="cellIs" priority="1587" operator="equal" aboveAverage="0" equalAverage="0" bottom="0" percent="0" rank="0" text="" dxfId="2610">
      <formula>"В"</formula>
    </cfRule>
  </conditionalFormatting>
  <conditionalFormatting sqref="U30">
    <cfRule type="cellIs" priority="1588" operator="greaterThan" aboveAverage="0" equalAverage="0" bottom="0" percent="0" rank="0" text="" dxfId="2611">
      <formula>0</formula>
    </cfRule>
    <cfRule type="expression" priority="1589" aboveAverage="0" equalAverage="0" bottom="0" percent="0" rank="0" text="" dxfId="2612">
      <formula>U29&gt;0</formula>
    </cfRule>
  </conditionalFormatting>
  <conditionalFormatting sqref="U31">
    <cfRule type="cellIs" priority="1590" operator="equal" aboveAverage="0" equalAverage="0" bottom="0" percent="0" rank="0" text="" dxfId="2613">
      <formula>"В"</formula>
    </cfRule>
  </conditionalFormatting>
  <conditionalFormatting sqref="U31">
    <cfRule type="cellIs" priority="1591" operator="greaterThan" aboveAverage="0" equalAverage="0" bottom="0" percent="0" rank="0" text="" dxfId="2614">
      <formula>0</formula>
    </cfRule>
    <cfRule type="expression" priority="1592" aboveAverage="0" equalAverage="0" bottom="0" percent="0" rank="0" text="" dxfId="2615">
      <formula>U30&gt;0</formula>
    </cfRule>
  </conditionalFormatting>
  <conditionalFormatting sqref="U32">
    <cfRule type="cellIs" priority="1593" operator="equal" aboveAverage="0" equalAverage="0" bottom="0" percent="0" rank="0" text="" dxfId="2616">
      <formula>"В"</formula>
    </cfRule>
  </conditionalFormatting>
  <conditionalFormatting sqref="U32">
    <cfRule type="cellIs" priority="1594" operator="greaterThan" aboveAverage="0" equalAverage="0" bottom="0" percent="0" rank="0" text="" dxfId="2617">
      <formula>0</formula>
    </cfRule>
    <cfRule type="expression" priority="1595" aboveAverage="0" equalAverage="0" bottom="0" percent="0" rank="0" text="" dxfId="2618">
      <formula>U31&gt;0</formula>
    </cfRule>
  </conditionalFormatting>
  <conditionalFormatting sqref="U33">
    <cfRule type="cellIs" priority="1596" operator="equal" aboveAverage="0" equalAverage="0" bottom="0" percent="0" rank="0" text="" dxfId="2619">
      <formula>"В"</formula>
    </cfRule>
  </conditionalFormatting>
  <conditionalFormatting sqref="U33">
    <cfRule type="cellIs" priority="1597" operator="greaterThan" aboveAverage="0" equalAverage="0" bottom="0" percent="0" rank="0" text="" dxfId="2620">
      <formula>0</formula>
    </cfRule>
    <cfRule type="expression" priority="1598" aboveAverage="0" equalAverage="0" bottom="0" percent="0" rank="0" text="" dxfId="2621">
      <formula>U32&gt;0</formula>
    </cfRule>
  </conditionalFormatting>
  <conditionalFormatting sqref="U34">
    <cfRule type="cellIs" priority="1599" operator="equal" aboveAverage="0" equalAverage="0" bottom="0" percent="0" rank="0" text="" dxfId="2622">
      <formula>"В"</formula>
    </cfRule>
  </conditionalFormatting>
  <conditionalFormatting sqref="U34">
    <cfRule type="cellIs" priority="1600" operator="greaterThan" aboveAverage="0" equalAverage="0" bottom="0" percent="0" rank="0" text="" dxfId="2623">
      <formula>0</formula>
    </cfRule>
    <cfRule type="expression" priority="1601" aboveAverage="0" equalAverage="0" bottom="0" percent="0" rank="0" text="" dxfId="2624">
      <formula>U33&gt;0</formula>
    </cfRule>
  </conditionalFormatting>
  <conditionalFormatting sqref="U35">
    <cfRule type="cellIs" priority="1602" operator="equal" aboveAverage="0" equalAverage="0" bottom="0" percent="0" rank="0" text="" dxfId="2625">
      <formula>"В"</formula>
    </cfRule>
  </conditionalFormatting>
  <conditionalFormatting sqref="U35">
    <cfRule type="cellIs" priority="1603" operator="greaterThan" aboveAverage="0" equalAverage="0" bottom="0" percent="0" rank="0" text="" dxfId="2626">
      <formula>0</formula>
    </cfRule>
    <cfRule type="expression" priority="1604" aboveAverage="0" equalAverage="0" bottom="0" percent="0" rank="0" text="" dxfId="2627">
      <formula>U34&gt;0</formula>
    </cfRule>
  </conditionalFormatting>
  <conditionalFormatting sqref="U36">
    <cfRule type="cellIs" priority="1605" operator="equal" aboveAverage="0" equalAverage="0" bottom="0" percent="0" rank="0" text="" dxfId="2628">
      <formula>"В"</formula>
    </cfRule>
  </conditionalFormatting>
  <conditionalFormatting sqref="U36">
    <cfRule type="cellIs" priority="1606" operator="greaterThan" aboveAverage="0" equalAverage="0" bottom="0" percent="0" rank="0" text="" dxfId="2629">
      <formula>0</formula>
    </cfRule>
    <cfRule type="expression" priority="1607" aboveAverage="0" equalAverage="0" bottom="0" percent="0" rank="0" text="" dxfId="2630">
      <formula>U35&gt;0</formula>
    </cfRule>
  </conditionalFormatting>
  <conditionalFormatting sqref="U37">
    <cfRule type="cellIs" priority="1608" operator="equal" aboveAverage="0" equalAverage="0" bottom="0" percent="0" rank="0" text="" dxfId="2631">
      <formula>"В"</formula>
    </cfRule>
  </conditionalFormatting>
  <conditionalFormatting sqref="U37">
    <cfRule type="cellIs" priority="1609" operator="greaterThan" aboveAverage="0" equalAverage="0" bottom="0" percent="0" rank="0" text="" dxfId="2632">
      <formula>0</formula>
    </cfRule>
    <cfRule type="expression" priority="1610" aboveAverage="0" equalAverage="0" bottom="0" percent="0" rank="0" text="" dxfId="2633">
      <formula>U36&gt;0</formula>
    </cfRule>
  </conditionalFormatting>
  <conditionalFormatting sqref="U38">
    <cfRule type="cellIs" priority="1611" operator="equal" aboveAverage="0" equalAverage="0" bottom="0" percent="0" rank="0" text="" dxfId="2634">
      <formula>"В"</formula>
    </cfRule>
  </conditionalFormatting>
  <conditionalFormatting sqref="U38">
    <cfRule type="cellIs" priority="1612" operator="greaterThan" aboveAverage="0" equalAverage="0" bottom="0" percent="0" rank="0" text="" dxfId="2635">
      <formula>0</formula>
    </cfRule>
    <cfRule type="expression" priority="1613" aboveAverage="0" equalAverage="0" bottom="0" percent="0" rank="0" text="" dxfId="2636">
      <formula>U37&gt;0</formula>
    </cfRule>
  </conditionalFormatting>
  <conditionalFormatting sqref="U39">
    <cfRule type="cellIs" priority="1614" operator="equal" aboveAverage="0" equalAverage="0" bottom="0" percent="0" rank="0" text="" dxfId="2637">
      <formula>"В"</formula>
    </cfRule>
  </conditionalFormatting>
  <conditionalFormatting sqref="U39">
    <cfRule type="cellIs" priority="1615" operator="greaterThan" aboveAverage="0" equalAverage="0" bottom="0" percent="0" rank="0" text="" dxfId="2638">
      <formula>0</formula>
    </cfRule>
    <cfRule type="expression" priority="1616" aboveAverage="0" equalAverage="0" bottom="0" percent="0" rank="0" text="" dxfId="2639">
      <formula>U38&gt;0</formula>
    </cfRule>
  </conditionalFormatting>
  <conditionalFormatting sqref="U40">
    <cfRule type="cellIs" priority="1617" operator="equal" aboveAverage="0" equalAverage="0" bottom="0" percent="0" rank="0" text="" dxfId="2640">
      <formula>"В"</formula>
    </cfRule>
  </conditionalFormatting>
  <conditionalFormatting sqref="U40">
    <cfRule type="cellIs" priority="1618" operator="greaterThan" aboveAverage="0" equalAverage="0" bottom="0" percent="0" rank="0" text="" dxfId="2641">
      <formula>0</formula>
    </cfRule>
    <cfRule type="expression" priority="1619" aboveAverage="0" equalAverage="0" bottom="0" percent="0" rank="0" text="" dxfId="2642">
      <formula>U39&gt;0</formula>
    </cfRule>
  </conditionalFormatting>
  <conditionalFormatting sqref="U41">
    <cfRule type="cellIs" priority="1620" operator="equal" aboveAverage="0" equalAverage="0" bottom="0" percent="0" rank="0" text="" dxfId="2643">
      <formula>"В"</formula>
    </cfRule>
  </conditionalFormatting>
  <conditionalFormatting sqref="U41">
    <cfRule type="cellIs" priority="1621" operator="greaterThan" aboveAverage="0" equalAverage="0" bottom="0" percent="0" rank="0" text="" dxfId="2644">
      <formula>0</formula>
    </cfRule>
    <cfRule type="expression" priority="1622" aboveAverage="0" equalAverage="0" bottom="0" percent="0" rank="0" text="" dxfId="2645">
      <formula>U40&gt;0</formula>
    </cfRule>
  </conditionalFormatting>
  <conditionalFormatting sqref="U42">
    <cfRule type="cellIs" priority="1623" operator="equal" aboveAverage="0" equalAverage="0" bottom="0" percent="0" rank="0" text="" dxfId="2646">
      <formula>"В"</formula>
    </cfRule>
  </conditionalFormatting>
  <conditionalFormatting sqref="U42">
    <cfRule type="cellIs" priority="1624" operator="greaterThan" aboveAverage="0" equalAverage="0" bottom="0" percent="0" rank="0" text="" dxfId="2647">
      <formula>0</formula>
    </cfRule>
    <cfRule type="expression" priority="1625" aboveAverage="0" equalAverage="0" bottom="0" percent="0" rank="0" text="" dxfId="2648">
      <formula>U41&gt;0</formula>
    </cfRule>
  </conditionalFormatting>
  <conditionalFormatting sqref="U43">
    <cfRule type="cellIs" priority="1626" operator="equal" aboveAverage="0" equalAverage="0" bottom="0" percent="0" rank="0" text="" dxfId="2649">
      <formula>"В"</formula>
    </cfRule>
  </conditionalFormatting>
  <conditionalFormatting sqref="U43">
    <cfRule type="cellIs" priority="1627" operator="greaterThan" aboveAverage="0" equalAverage="0" bottom="0" percent="0" rank="0" text="" dxfId="2650">
      <formula>0</formula>
    </cfRule>
    <cfRule type="expression" priority="1628" aboveAverage="0" equalAverage="0" bottom="0" percent="0" rank="0" text="" dxfId="2651">
      <formula>U42&gt;0</formula>
    </cfRule>
  </conditionalFormatting>
  <conditionalFormatting sqref="U44">
    <cfRule type="cellIs" priority="1629" operator="equal" aboveAverage="0" equalAverage="0" bottom="0" percent="0" rank="0" text="" dxfId="2652">
      <formula>"В"</formula>
    </cfRule>
  </conditionalFormatting>
  <conditionalFormatting sqref="U44">
    <cfRule type="cellIs" priority="1630" operator="greaterThan" aboveAverage="0" equalAverage="0" bottom="0" percent="0" rank="0" text="" dxfId="2653">
      <formula>0</formula>
    </cfRule>
    <cfRule type="expression" priority="1631" aboveAverage="0" equalAverage="0" bottom="0" percent="0" rank="0" text="" dxfId="2654">
      <formula>U43&gt;0</formula>
    </cfRule>
  </conditionalFormatting>
  <conditionalFormatting sqref="U45">
    <cfRule type="cellIs" priority="1632" operator="equal" aboveAverage="0" equalAverage="0" bottom="0" percent="0" rank="0" text="" dxfId="2655">
      <formula>"В"</formula>
    </cfRule>
  </conditionalFormatting>
  <conditionalFormatting sqref="U45">
    <cfRule type="cellIs" priority="1633" operator="greaterThan" aboveAverage="0" equalAverage="0" bottom="0" percent="0" rank="0" text="" dxfId="2656">
      <formula>0</formula>
    </cfRule>
    <cfRule type="expression" priority="1634" aboveAverage="0" equalAverage="0" bottom="0" percent="0" rank="0" text="" dxfId="2657">
      <formula>U44&gt;0</formula>
    </cfRule>
  </conditionalFormatting>
  <conditionalFormatting sqref="U46">
    <cfRule type="cellIs" priority="1635" operator="equal" aboveAverage="0" equalAverage="0" bottom="0" percent="0" rank="0" text="" dxfId="2658">
      <formula>"В"</formula>
    </cfRule>
  </conditionalFormatting>
  <conditionalFormatting sqref="U46">
    <cfRule type="cellIs" priority="1636" operator="greaterThan" aboveAverage="0" equalAverage="0" bottom="0" percent="0" rank="0" text="" dxfId="2659">
      <formula>0</formula>
    </cfRule>
    <cfRule type="expression" priority="1637" aboveAverage="0" equalAverage="0" bottom="0" percent="0" rank="0" text="" dxfId="2660">
      <formula>U45&gt;0</formula>
    </cfRule>
  </conditionalFormatting>
  <conditionalFormatting sqref="U47">
    <cfRule type="cellIs" priority="1638" operator="equal" aboveAverage="0" equalAverage="0" bottom="0" percent="0" rank="0" text="" dxfId="2661">
      <formula>"В"</formula>
    </cfRule>
  </conditionalFormatting>
  <conditionalFormatting sqref="U47">
    <cfRule type="cellIs" priority="1639" operator="greaterThan" aboveAverage="0" equalAverage="0" bottom="0" percent="0" rank="0" text="" dxfId="2662">
      <formula>0</formula>
    </cfRule>
    <cfRule type="expression" priority="1640" aboveAverage="0" equalAverage="0" bottom="0" percent="0" rank="0" text="" dxfId="2663">
      <formula>U46&gt;0</formula>
    </cfRule>
  </conditionalFormatting>
  <conditionalFormatting sqref="U48">
    <cfRule type="cellIs" priority="1641" operator="equal" aboveAverage="0" equalAverage="0" bottom="0" percent="0" rank="0" text="" dxfId="2664">
      <formula>"В"</formula>
    </cfRule>
  </conditionalFormatting>
  <conditionalFormatting sqref="U48">
    <cfRule type="cellIs" priority="1642" operator="greaterThan" aboveAverage="0" equalAverage="0" bottom="0" percent="0" rank="0" text="" dxfId="2665">
      <formula>0</formula>
    </cfRule>
    <cfRule type="expression" priority="1643" aboveAverage="0" equalAverage="0" bottom="0" percent="0" rank="0" text="" dxfId="2666">
      <formula>U47&gt;0</formula>
    </cfRule>
  </conditionalFormatting>
  <conditionalFormatting sqref="U49">
    <cfRule type="cellIs" priority="1644" operator="equal" aboveAverage="0" equalAverage="0" bottom="0" percent="0" rank="0" text="" dxfId="2667">
      <formula>"В"</formula>
    </cfRule>
  </conditionalFormatting>
  <conditionalFormatting sqref="U49">
    <cfRule type="cellIs" priority="1645" operator="greaterThan" aboveAverage="0" equalAverage="0" bottom="0" percent="0" rank="0" text="" dxfId="2668">
      <formula>0</formula>
    </cfRule>
    <cfRule type="expression" priority="1646" aboveAverage="0" equalAverage="0" bottom="0" percent="0" rank="0" text="" dxfId="2669">
      <formula>U48&gt;0</formula>
    </cfRule>
  </conditionalFormatting>
  <conditionalFormatting sqref="V22">
    <cfRule type="cellIs" priority="1647" operator="equal" aboveAverage="0" equalAverage="0" bottom="0" percent="0" rank="0" text="" dxfId="2670">
      <formula>"В"</formula>
    </cfRule>
  </conditionalFormatting>
  <conditionalFormatting sqref="V22">
    <cfRule type="cellIs" priority="1648" operator="greaterThan" aboveAverage="0" equalAverage="0" bottom="0" percent="0" rank="0" text="" dxfId="2671">
      <formula>0</formula>
    </cfRule>
    <cfRule type="expression" priority="1649" aboveAverage="0" equalAverage="0" bottom="0" percent="0" rank="0" text="" dxfId="2672">
      <formula>V21&gt;0</formula>
    </cfRule>
  </conditionalFormatting>
  <conditionalFormatting sqref="V23">
    <cfRule type="cellIs" priority="1650" operator="equal" aboveAverage="0" equalAverage="0" bottom="0" percent="0" rank="0" text="" dxfId="2673">
      <formula>"В"</formula>
    </cfRule>
  </conditionalFormatting>
  <conditionalFormatting sqref="V23">
    <cfRule type="cellIs" priority="1651" operator="greaterThan" aboveAverage="0" equalAverage="0" bottom="0" percent="0" rank="0" text="" dxfId="2674">
      <formula>0</formula>
    </cfRule>
    <cfRule type="expression" priority="1652" aboveAverage="0" equalAverage="0" bottom="0" percent="0" rank="0" text="" dxfId="2675">
      <formula>V22&gt;0</formula>
    </cfRule>
  </conditionalFormatting>
  <conditionalFormatting sqref="V24">
    <cfRule type="cellIs" priority="1653" operator="equal" aboveAverage="0" equalAverage="0" bottom="0" percent="0" rank="0" text="" dxfId="2676">
      <formula>"В"</formula>
    </cfRule>
  </conditionalFormatting>
  <conditionalFormatting sqref="V24">
    <cfRule type="cellIs" priority="1654" operator="greaterThan" aboveAverage="0" equalAverage="0" bottom="0" percent="0" rank="0" text="" dxfId="2677">
      <formula>0</formula>
    </cfRule>
    <cfRule type="expression" priority="1655" aboveAverage="0" equalAverage="0" bottom="0" percent="0" rank="0" text="" dxfId="2678">
      <formula>V23&gt;0</formula>
    </cfRule>
  </conditionalFormatting>
  <conditionalFormatting sqref="V25">
    <cfRule type="cellIs" priority="1656" operator="equal" aboveAverage="0" equalAverage="0" bottom="0" percent="0" rank="0" text="" dxfId="2679">
      <formula>"В"</formula>
    </cfRule>
  </conditionalFormatting>
  <conditionalFormatting sqref="V25">
    <cfRule type="cellIs" priority="1657" operator="greaterThan" aboveAverage="0" equalAverage="0" bottom="0" percent="0" rank="0" text="" dxfId="2680">
      <formula>0</formula>
    </cfRule>
    <cfRule type="expression" priority="1658" aboveAverage="0" equalAverage="0" bottom="0" percent="0" rank="0" text="" dxfId="2681">
      <formula>V24&gt;0</formula>
    </cfRule>
  </conditionalFormatting>
  <conditionalFormatting sqref="V26">
    <cfRule type="cellIs" priority="1659" operator="equal" aboveAverage="0" equalAverage="0" bottom="0" percent="0" rank="0" text="" dxfId="2682">
      <formula>"В"</formula>
    </cfRule>
  </conditionalFormatting>
  <conditionalFormatting sqref="V26">
    <cfRule type="cellIs" priority="1660" operator="greaterThan" aboveAverage="0" equalAverage="0" bottom="0" percent="0" rank="0" text="" dxfId="2683">
      <formula>0</formula>
    </cfRule>
    <cfRule type="expression" priority="1661" aboveAverage="0" equalAverage="0" bottom="0" percent="0" rank="0" text="" dxfId="2684">
      <formula>V25&gt;0</formula>
    </cfRule>
  </conditionalFormatting>
  <conditionalFormatting sqref="V27">
    <cfRule type="cellIs" priority="1662" operator="equal" aboveAverage="0" equalAverage="0" bottom="0" percent="0" rank="0" text="" dxfId="2685">
      <formula>"В"</formula>
    </cfRule>
  </conditionalFormatting>
  <conditionalFormatting sqref="V27">
    <cfRule type="cellIs" priority="1663" operator="greaterThan" aboveAverage="0" equalAverage="0" bottom="0" percent="0" rank="0" text="" dxfId="2686">
      <formula>0</formula>
    </cfRule>
    <cfRule type="expression" priority="1664" aboveAverage="0" equalAverage="0" bottom="0" percent="0" rank="0" text="" dxfId="2687">
      <formula>V26&gt;0</formula>
    </cfRule>
  </conditionalFormatting>
  <conditionalFormatting sqref="V28">
    <cfRule type="cellIs" priority="1665" operator="equal" aboveAverage="0" equalAverage="0" bottom="0" percent="0" rank="0" text="" dxfId="2688">
      <formula>"В"</formula>
    </cfRule>
  </conditionalFormatting>
  <conditionalFormatting sqref="V28">
    <cfRule type="cellIs" priority="1666" operator="greaterThan" aboveAverage="0" equalAverage="0" bottom="0" percent="0" rank="0" text="" dxfId="2689">
      <formula>0</formula>
    </cfRule>
    <cfRule type="expression" priority="1667" aboveAverage="0" equalAverage="0" bottom="0" percent="0" rank="0" text="" dxfId="2690">
      <formula>V27&gt;0</formula>
    </cfRule>
  </conditionalFormatting>
  <conditionalFormatting sqref="V29">
    <cfRule type="cellIs" priority="1668" operator="equal" aboveAverage="0" equalAverage="0" bottom="0" percent="0" rank="0" text="" dxfId="2691">
      <formula>"В"</formula>
    </cfRule>
  </conditionalFormatting>
  <conditionalFormatting sqref="V29">
    <cfRule type="cellIs" priority="1669" operator="greaterThan" aboveAverage="0" equalAverage="0" bottom="0" percent="0" rank="0" text="" dxfId="2692">
      <formula>0</formula>
    </cfRule>
    <cfRule type="expression" priority="1670" aboveAverage="0" equalAverage="0" bottom="0" percent="0" rank="0" text="" dxfId="2693">
      <formula>V28&gt;0</formula>
    </cfRule>
  </conditionalFormatting>
  <conditionalFormatting sqref="V30">
    <cfRule type="cellIs" priority="1671" operator="equal" aboveAverage="0" equalAverage="0" bottom="0" percent="0" rank="0" text="" dxfId="2694">
      <formula>"В"</formula>
    </cfRule>
  </conditionalFormatting>
  <conditionalFormatting sqref="V30">
    <cfRule type="cellIs" priority="1672" operator="greaterThan" aboveAverage="0" equalAverage="0" bottom="0" percent="0" rank="0" text="" dxfId="2695">
      <formula>0</formula>
    </cfRule>
    <cfRule type="expression" priority="1673" aboveAverage="0" equalAverage="0" bottom="0" percent="0" rank="0" text="" dxfId="2696">
      <formula>V29&gt;0</formula>
    </cfRule>
  </conditionalFormatting>
  <conditionalFormatting sqref="V31">
    <cfRule type="cellIs" priority="1674" operator="equal" aboveAverage="0" equalAverage="0" bottom="0" percent="0" rank="0" text="" dxfId="2697">
      <formula>"В"</formula>
    </cfRule>
  </conditionalFormatting>
  <conditionalFormatting sqref="V31">
    <cfRule type="cellIs" priority="1675" operator="greaterThan" aboveAverage="0" equalAverage="0" bottom="0" percent="0" rank="0" text="" dxfId="2698">
      <formula>0</formula>
    </cfRule>
    <cfRule type="expression" priority="1676" aboveAverage="0" equalAverage="0" bottom="0" percent="0" rank="0" text="" dxfId="2699">
      <formula>V30&gt;0</formula>
    </cfRule>
  </conditionalFormatting>
  <conditionalFormatting sqref="V32">
    <cfRule type="cellIs" priority="1677" operator="equal" aboveAverage="0" equalAverage="0" bottom="0" percent="0" rank="0" text="" dxfId="2700">
      <formula>"В"</formula>
    </cfRule>
  </conditionalFormatting>
  <conditionalFormatting sqref="V32">
    <cfRule type="cellIs" priority="1678" operator="greaterThan" aboveAverage="0" equalAverage="0" bottom="0" percent="0" rank="0" text="" dxfId="2701">
      <formula>0</formula>
    </cfRule>
    <cfRule type="expression" priority="1679" aboveAverage="0" equalAverage="0" bottom="0" percent="0" rank="0" text="" dxfId="2702">
      <formula>V31&gt;0</formula>
    </cfRule>
  </conditionalFormatting>
  <conditionalFormatting sqref="V33">
    <cfRule type="cellIs" priority="1680" operator="equal" aboveAverage="0" equalAverage="0" bottom="0" percent="0" rank="0" text="" dxfId="2703">
      <formula>"В"</formula>
    </cfRule>
  </conditionalFormatting>
  <conditionalFormatting sqref="V33">
    <cfRule type="cellIs" priority="1681" operator="greaterThan" aboveAverage="0" equalAverage="0" bottom="0" percent="0" rank="0" text="" dxfId="2704">
      <formula>0</formula>
    </cfRule>
    <cfRule type="expression" priority="1682" aboveAverage="0" equalAverage="0" bottom="0" percent="0" rank="0" text="" dxfId="2705">
      <formula>V32&gt;0</formula>
    </cfRule>
  </conditionalFormatting>
  <conditionalFormatting sqref="V34">
    <cfRule type="cellIs" priority="1683" operator="equal" aboveAverage="0" equalAverage="0" bottom="0" percent="0" rank="0" text="" dxfId="2706">
      <formula>"В"</formula>
    </cfRule>
  </conditionalFormatting>
  <conditionalFormatting sqref="V34">
    <cfRule type="cellIs" priority="1684" operator="greaterThan" aboveAverage="0" equalAverage="0" bottom="0" percent="0" rank="0" text="" dxfId="2707">
      <formula>0</formula>
    </cfRule>
    <cfRule type="expression" priority="1685" aboveAverage="0" equalAverage="0" bottom="0" percent="0" rank="0" text="" dxfId="2708">
      <formula>V33&gt;0</formula>
    </cfRule>
  </conditionalFormatting>
  <conditionalFormatting sqref="V35">
    <cfRule type="cellIs" priority="1686" operator="equal" aboveAverage="0" equalAverage="0" bottom="0" percent="0" rank="0" text="" dxfId="2709">
      <formula>"В"</formula>
    </cfRule>
  </conditionalFormatting>
  <conditionalFormatting sqref="V35">
    <cfRule type="cellIs" priority="1687" operator="greaterThan" aboveAverage="0" equalAverage="0" bottom="0" percent="0" rank="0" text="" dxfId="2710">
      <formula>0</formula>
    </cfRule>
    <cfRule type="expression" priority="1688" aboveAverage="0" equalAverage="0" bottom="0" percent="0" rank="0" text="" dxfId="2711">
      <formula>V34&gt;0</formula>
    </cfRule>
  </conditionalFormatting>
  <conditionalFormatting sqref="V36">
    <cfRule type="cellIs" priority="1689" operator="equal" aboveAverage="0" equalAverage="0" bottom="0" percent="0" rank="0" text="" dxfId="2712">
      <formula>"В"</formula>
    </cfRule>
  </conditionalFormatting>
  <conditionalFormatting sqref="V36">
    <cfRule type="cellIs" priority="1690" operator="greaterThan" aboveAverage="0" equalAverage="0" bottom="0" percent="0" rank="0" text="" dxfId="2713">
      <formula>0</formula>
    </cfRule>
    <cfRule type="expression" priority="1691" aboveAverage="0" equalAverage="0" bottom="0" percent="0" rank="0" text="" dxfId="2714">
      <formula>V35&gt;0</formula>
    </cfRule>
  </conditionalFormatting>
  <conditionalFormatting sqref="V37">
    <cfRule type="cellIs" priority="1692" operator="equal" aboveAverage="0" equalAverage="0" bottom="0" percent="0" rank="0" text="" dxfId="2715">
      <formula>"В"</formula>
    </cfRule>
  </conditionalFormatting>
  <conditionalFormatting sqref="V37">
    <cfRule type="cellIs" priority="1693" operator="greaterThan" aboveAverage="0" equalAverage="0" bottom="0" percent="0" rank="0" text="" dxfId="2716">
      <formula>0</formula>
    </cfRule>
    <cfRule type="expression" priority="1694" aboveAverage="0" equalAverage="0" bottom="0" percent="0" rank="0" text="" dxfId="2717">
      <formula>V36&gt;0</formula>
    </cfRule>
  </conditionalFormatting>
  <conditionalFormatting sqref="V38">
    <cfRule type="cellIs" priority="1695" operator="equal" aboveAverage="0" equalAverage="0" bottom="0" percent="0" rank="0" text="" dxfId="2718">
      <formula>"В"</formula>
    </cfRule>
  </conditionalFormatting>
  <conditionalFormatting sqref="V38">
    <cfRule type="cellIs" priority="1696" operator="greaterThan" aboveAverage="0" equalAverage="0" bottom="0" percent="0" rank="0" text="" dxfId="2719">
      <formula>0</formula>
    </cfRule>
    <cfRule type="expression" priority="1697" aboveAverage="0" equalAverage="0" bottom="0" percent="0" rank="0" text="" dxfId="2720">
      <formula>V37&gt;0</formula>
    </cfRule>
  </conditionalFormatting>
  <conditionalFormatting sqref="V39">
    <cfRule type="cellIs" priority="1698" operator="equal" aboveAverage="0" equalAverage="0" bottom="0" percent="0" rank="0" text="" dxfId="2721">
      <formula>"В"</formula>
    </cfRule>
  </conditionalFormatting>
  <conditionalFormatting sqref="V39">
    <cfRule type="cellIs" priority="1699" operator="greaterThan" aboveAverage="0" equalAverage="0" bottom="0" percent="0" rank="0" text="" dxfId="2722">
      <formula>0</formula>
    </cfRule>
    <cfRule type="expression" priority="1700" aboveAverage="0" equalAverage="0" bottom="0" percent="0" rank="0" text="" dxfId="2723">
      <formula>V38&gt;0</formula>
    </cfRule>
  </conditionalFormatting>
  <conditionalFormatting sqref="V40">
    <cfRule type="cellIs" priority="1701" operator="equal" aboveAverage="0" equalAverage="0" bottom="0" percent="0" rank="0" text="" dxfId="2724">
      <formula>"В"</formula>
    </cfRule>
  </conditionalFormatting>
  <conditionalFormatting sqref="V40">
    <cfRule type="cellIs" priority="1702" operator="greaterThan" aboveAverage="0" equalAverage="0" bottom="0" percent="0" rank="0" text="" dxfId="2725">
      <formula>0</formula>
    </cfRule>
    <cfRule type="expression" priority="1703" aboveAverage="0" equalAverage="0" bottom="0" percent="0" rank="0" text="" dxfId="2726">
      <formula>V39&gt;0</formula>
    </cfRule>
  </conditionalFormatting>
  <conditionalFormatting sqref="V41">
    <cfRule type="cellIs" priority="1704" operator="equal" aboveAverage="0" equalAverage="0" bottom="0" percent="0" rank="0" text="" dxfId="2727">
      <formula>"В"</formula>
    </cfRule>
  </conditionalFormatting>
  <conditionalFormatting sqref="V41">
    <cfRule type="cellIs" priority="1705" operator="greaterThan" aboveAverage="0" equalAverage="0" bottom="0" percent="0" rank="0" text="" dxfId="2728">
      <formula>0</formula>
    </cfRule>
    <cfRule type="expression" priority="1706" aboveAverage="0" equalAverage="0" bottom="0" percent="0" rank="0" text="" dxfId="2729">
      <formula>V40&gt;0</formula>
    </cfRule>
  </conditionalFormatting>
  <conditionalFormatting sqref="V42">
    <cfRule type="cellIs" priority="1707" operator="equal" aboveAverage="0" equalAverage="0" bottom="0" percent="0" rank="0" text="" dxfId="2730">
      <formula>"В"</formula>
    </cfRule>
  </conditionalFormatting>
  <conditionalFormatting sqref="V42">
    <cfRule type="cellIs" priority="1708" operator="greaterThan" aboveAverage="0" equalAverage="0" bottom="0" percent="0" rank="0" text="" dxfId="2731">
      <formula>0</formula>
    </cfRule>
    <cfRule type="expression" priority="1709" aboveAverage="0" equalAverage="0" bottom="0" percent="0" rank="0" text="" dxfId="2732">
      <formula>V41&gt;0</formula>
    </cfRule>
  </conditionalFormatting>
  <conditionalFormatting sqref="V43">
    <cfRule type="cellIs" priority="1710" operator="equal" aboveAverage="0" equalAverage="0" bottom="0" percent="0" rank="0" text="" dxfId="2733">
      <formula>"В"</formula>
    </cfRule>
  </conditionalFormatting>
  <conditionalFormatting sqref="V43">
    <cfRule type="cellIs" priority="1711" operator="greaterThan" aboveAverage="0" equalAverage="0" bottom="0" percent="0" rank="0" text="" dxfId="2734">
      <formula>0</formula>
    </cfRule>
    <cfRule type="expression" priority="1712" aboveAverage="0" equalAverage="0" bottom="0" percent="0" rank="0" text="" dxfId="2735">
      <formula>V42&gt;0</formula>
    </cfRule>
  </conditionalFormatting>
  <conditionalFormatting sqref="V44">
    <cfRule type="cellIs" priority="1713" operator="equal" aboveAverage="0" equalAverage="0" bottom="0" percent="0" rank="0" text="" dxfId="2736">
      <formula>"В"</formula>
    </cfRule>
  </conditionalFormatting>
  <conditionalFormatting sqref="V44">
    <cfRule type="cellIs" priority="1714" operator="greaterThan" aboveAverage="0" equalAverage="0" bottom="0" percent="0" rank="0" text="" dxfId="2737">
      <formula>0</formula>
    </cfRule>
    <cfRule type="expression" priority="1715" aboveAverage="0" equalAverage="0" bottom="0" percent="0" rank="0" text="" dxfId="2738">
      <formula>V43&gt;0</formula>
    </cfRule>
  </conditionalFormatting>
  <conditionalFormatting sqref="V45">
    <cfRule type="cellIs" priority="1716" operator="equal" aboveAverage="0" equalAverage="0" bottom="0" percent="0" rank="0" text="" dxfId="2739">
      <formula>"В"</formula>
    </cfRule>
  </conditionalFormatting>
  <conditionalFormatting sqref="V45">
    <cfRule type="cellIs" priority="1717" operator="greaterThan" aboveAverage="0" equalAverage="0" bottom="0" percent="0" rank="0" text="" dxfId="2740">
      <formula>0</formula>
    </cfRule>
    <cfRule type="expression" priority="1718" aboveAverage="0" equalAverage="0" bottom="0" percent="0" rank="0" text="" dxfId="2741">
      <formula>V44&gt;0</formula>
    </cfRule>
  </conditionalFormatting>
  <conditionalFormatting sqref="V46">
    <cfRule type="cellIs" priority="1719" operator="equal" aboveAverage="0" equalAverage="0" bottom="0" percent="0" rank="0" text="" dxfId="2742">
      <formula>"В"</formula>
    </cfRule>
  </conditionalFormatting>
  <conditionalFormatting sqref="V46">
    <cfRule type="cellIs" priority="1720" operator="greaterThan" aboveAverage="0" equalAverage="0" bottom="0" percent="0" rank="0" text="" dxfId="2743">
      <formula>0</formula>
    </cfRule>
    <cfRule type="expression" priority="1721" aboveAverage="0" equalAverage="0" bottom="0" percent="0" rank="0" text="" dxfId="2744">
      <formula>V45&gt;0</formula>
    </cfRule>
  </conditionalFormatting>
  <conditionalFormatting sqref="V47">
    <cfRule type="cellIs" priority="1722" operator="equal" aboveAverage="0" equalAverage="0" bottom="0" percent="0" rank="0" text="" dxfId="2745">
      <formula>"В"</formula>
    </cfRule>
  </conditionalFormatting>
  <conditionalFormatting sqref="V47">
    <cfRule type="cellIs" priority="1723" operator="greaterThan" aboveAverage="0" equalAverage="0" bottom="0" percent="0" rank="0" text="" dxfId="2746">
      <formula>0</formula>
    </cfRule>
    <cfRule type="expression" priority="1724" aboveAverage="0" equalAverage="0" bottom="0" percent="0" rank="0" text="" dxfId="2747">
      <formula>V46&gt;0</formula>
    </cfRule>
  </conditionalFormatting>
  <conditionalFormatting sqref="V48">
    <cfRule type="cellIs" priority="1725" operator="equal" aboveAverage="0" equalAverage="0" bottom="0" percent="0" rank="0" text="" dxfId="2748">
      <formula>"В"</formula>
    </cfRule>
  </conditionalFormatting>
  <conditionalFormatting sqref="V48">
    <cfRule type="cellIs" priority="1726" operator="greaterThan" aboveAverage="0" equalAverage="0" bottom="0" percent="0" rank="0" text="" dxfId="2749">
      <formula>0</formula>
    </cfRule>
    <cfRule type="expression" priority="1727" aboveAverage="0" equalAverage="0" bottom="0" percent="0" rank="0" text="" dxfId="2750">
      <formula>V47&gt;0</formula>
    </cfRule>
  </conditionalFormatting>
  <conditionalFormatting sqref="V49">
    <cfRule type="cellIs" priority="1728" operator="equal" aboveAverage="0" equalAverage="0" bottom="0" percent="0" rank="0" text="" dxfId="2751">
      <formula>"В"</formula>
    </cfRule>
  </conditionalFormatting>
  <conditionalFormatting sqref="V49">
    <cfRule type="cellIs" priority="1729" operator="greaterThan" aboveAverage="0" equalAverage="0" bottom="0" percent="0" rank="0" text="" dxfId="2752">
      <formula>0</formula>
    </cfRule>
    <cfRule type="expression" priority="1730" aboveAverage="0" equalAverage="0" bottom="0" percent="0" rank="0" text="" dxfId="2753">
      <formula>V48&gt;0</formula>
    </cfRule>
  </conditionalFormatting>
  <conditionalFormatting sqref="W22">
    <cfRule type="cellIs" priority="1731" operator="equal" aboveAverage="0" equalAverage="0" bottom="0" percent="0" rank="0" text="" dxfId="2754">
      <formula>"В"</formula>
    </cfRule>
  </conditionalFormatting>
  <conditionalFormatting sqref="W22">
    <cfRule type="cellIs" priority="1732" operator="greaterThan" aboveAverage="0" equalAverage="0" bottom="0" percent="0" rank="0" text="" dxfId="2755">
      <formula>0</formula>
    </cfRule>
    <cfRule type="expression" priority="1733" aboveAverage="0" equalAverage="0" bottom="0" percent="0" rank="0" text="" dxfId="2756">
      <formula>W21&gt;0</formula>
    </cfRule>
  </conditionalFormatting>
  <conditionalFormatting sqref="W23">
    <cfRule type="cellIs" priority="1734" operator="equal" aboveAverage="0" equalAverage="0" bottom="0" percent="0" rank="0" text="" dxfId="2757">
      <formula>"В"</formula>
    </cfRule>
  </conditionalFormatting>
  <conditionalFormatting sqref="W23">
    <cfRule type="cellIs" priority="1735" operator="greaterThan" aboveAverage="0" equalAverage="0" bottom="0" percent="0" rank="0" text="" dxfId="2758">
      <formula>0</formula>
    </cfRule>
    <cfRule type="expression" priority="1736" aboveAverage="0" equalAverage="0" bottom="0" percent="0" rank="0" text="" dxfId="2759">
      <formula>W22&gt;0</formula>
    </cfRule>
  </conditionalFormatting>
  <conditionalFormatting sqref="W24">
    <cfRule type="cellIs" priority="1737" operator="equal" aboveAverage="0" equalAverage="0" bottom="0" percent="0" rank="0" text="" dxfId="2760">
      <formula>"В"</formula>
    </cfRule>
  </conditionalFormatting>
  <conditionalFormatting sqref="W24">
    <cfRule type="cellIs" priority="1738" operator="greaterThan" aboveAverage="0" equalAverage="0" bottom="0" percent="0" rank="0" text="" dxfId="2761">
      <formula>0</formula>
    </cfRule>
    <cfRule type="expression" priority="1739" aboveAverage="0" equalAverage="0" bottom="0" percent="0" rank="0" text="" dxfId="2762">
      <formula>W23&gt;0</formula>
    </cfRule>
  </conditionalFormatting>
  <conditionalFormatting sqref="W25">
    <cfRule type="cellIs" priority="1740" operator="equal" aboveAverage="0" equalAverage="0" bottom="0" percent="0" rank="0" text="" dxfId="2763">
      <formula>"В"</formula>
    </cfRule>
  </conditionalFormatting>
  <conditionalFormatting sqref="W25">
    <cfRule type="cellIs" priority="1741" operator="greaterThan" aboveAverage="0" equalAverage="0" bottom="0" percent="0" rank="0" text="" dxfId="2764">
      <formula>0</formula>
    </cfRule>
    <cfRule type="expression" priority="1742" aboveAverage="0" equalAverage="0" bottom="0" percent="0" rank="0" text="" dxfId="2765">
      <formula>W24&gt;0</formula>
    </cfRule>
  </conditionalFormatting>
  <conditionalFormatting sqref="W26">
    <cfRule type="cellIs" priority="1743" operator="equal" aboveAverage="0" equalAverage="0" bottom="0" percent="0" rank="0" text="" dxfId="2766">
      <formula>"В"</formula>
    </cfRule>
  </conditionalFormatting>
  <conditionalFormatting sqref="W26">
    <cfRule type="cellIs" priority="1744" operator="greaterThan" aboveAverage="0" equalAverage="0" bottom="0" percent="0" rank="0" text="" dxfId="2767">
      <formula>0</formula>
    </cfRule>
    <cfRule type="expression" priority="1745" aboveAverage="0" equalAverage="0" bottom="0" percent="0" rank="0" text="" dxfId="2768">
      <formula>W25&gt;0</formula>
    </cfRule>
  </conditionalFormatting>
  <conditionalFormatting sqref="W27">
    <cfRule type="cellIs" priority="1746" operator="equal" aboveAverage="0" equalAverage="0" bottom="0" percent="0" rank="0" text="" dxfId="2769">
      <formula>"В"</formula>
    </cfRule>
  </conditionalFormatting>
  <conditionalFormatting sqref="W27">
    <cfRule type="cellIs" priority="1747" operator="greaterThan" aboveAverage="0" equalAverage="0" bottom="0" percent="0" rank="0" text="" dxfId="2770">
      <formula>0</formula>
    </cfRule>
    <cfRule type="expression" priority="1748" aboveAverage="0" equalAverage="0" bottom="0" percent="0" rank="0" text="" dxfId="2771">
      <formula>W26&gt;0</formula>
    </cfRule>
  </conditionalFormatting>
  <conditionalFormatting sqref="W28">
    <cfRule type="cellIs" priority="1749" operator="equal" aboveAverage="0" equalAverage="0" bottom="0" percent="0" rank="0" text="" dxfId="2772">
      <formula>"В"</formula>
    </cfRule>
  </conditionalFormatting>
  <conditionalFormatting sqref="W28">
    <cfRule type="cellIs" priority="1750" operator="greaterThan" aboveAverage="0" equalAverage="0" bottom="0" percent="0" rank="0" text="" dxfId="2773">
      <formula>0</formula>
    </cfRule>
    <cfRule type="expression" priority="1751" aboveAverage="0" equalAverage="0" bottom="0" percent="0" rank="0" text="" dxfId="2774">
      <formula>W27&gt;0</formula>
    </cfRule>
  </conditionalFormatting>
  <conditionalFormatting sqref="W29">
    <cfRule type="cellIs" priority="1752" operator="equal" aboveAverage="0" equalAverage="0" bottom="0" percent="0" rank="0" text="" dxfId="2775">
      <formula>"В"</formula>
    </cfRule>
  </conditionalFormatting>
  <conditionalFormatting sqref="W29">
    <cfRule type="cellIs" priority="1753" operator="greaterThan" aboveAverage="0" equalAverage="0" bottom="0" percent="0" rank="0" text="" dxfId="2776">
      <formula>0</formula>
    </cfRule>
    <cfRule type="expression" priority="1754" aboveAverage="0" equalAverage="0" bottom="0" percent="0" rank="0" text="" dxfId="2777">
      <formula>W28&gt;0</formula>
    </cfRule>
  </conditionalFormatting>
  <conditionalFormatting sqref="W30">
    <cfRule type="cellIs" priority="1755" operator="equal" aboveAverage="0" equalAverage="0" bottom="0" percent="0" rank="0" text="" dxfId="2778">
      <formula>"В"</formula>
    </cfRule>
  </conditionalFormatting>
  <conditionalFormatting sqref="W30">
    <cfRule type="cellIs" priority="1756" operator="greaterThan" aboveAverage="0" equalAverage="0" bottom="0" percent="0" rank="0" text="" dxfId="2779">
      <formula>0</formula>
    </cfRule>
    <cfRule type="expression" priority="1757" aboveAverage="0" equalAverage="0" bottom="0" percent="0" rank="0" text="" dxfId="2780">
      <formula>W29&gt;0</formula>
    </cfRule>
  </conditionalFormatting>
  <conditionalFormatting sqref="W31">
    <cfRule type="cellIs" priority="1758" operator="equal" aboveAverage="0" equalAverage="0" bottom="0" percent="0" rank="0" text="" dxfId="2781">
      <formula>"В"</formula>
    </cfRule>
  </conditionalFormatting>
  <conditionalFormatting sqref="W31">
    <cfRule type="cellIs" priority="1759" operator="greaterThan" aboveAverage="0" equalAverage="0" bottom="0" percent="0" rank="0" text="" dxfId="2782">
      <formula>0</formula>
    </cfRule>
    <cfRule type="expression" priority="1760" aboveAverage="0" equalAverage="0" bottom="0" percent="0" rank="0" text="" dxfId="2783">
      <formula>W30&gt;0</formula>
    </cfRule>
  </conditionalFormatting>
  <conditionalFormatting sqref="W32">
    <cfRule type="cellIs" priority="1761" operator="equal" aboveAverage="0" equalAverage="0" bottom="0" percent="0" rank="0" text="" dxfId="2784">
      <formula>"В"</formula>
    </cfRule>
  </conditionalFormatting>
  <conditionalFormatting sqref="W32">
    <cfRule type="cellIs" priority="1762" operator="greaterThan" aboveAverage="0" equalAverage="0" bottom="0" percent="0" rank="0" text="" dxfId="2785">
      <formula>0</formula>
    </cfRule>
    <cfRule type="expression" priority="1763" aboveAverage="0" equalAverage="0" bottom="0" percent="0" rank="0" text="" dxfId="2786">
      <formula>W31&gt;0</formula>
    </cfRule>
  </conditionalFormatting>
  <conditionalFormatting sqref="W33">
    <cfRule type="cellIs" priority="1764" operator="equal" aboveAverage="0" equalAverage="0" bottom="0" percent="0" rank="0" text="" dxfId="2787">
      <formula>"В"</formula>
    </cfRule>
  </conditionalFormatting>
  <conditionalFormatting sqref="W33">
    <cfRule type="cellIs" priority="1765" operator="greaterThan" aboveAverage="0" equalAverage="0" bottom="0" percent="0" rank="0" text="" dxfId="2788">
      <formula>0</formula>
    </cfRule>
    <cfRule type="expression" priority="1766" aboveAverage="0" equalAverage="0" bottom="0" percent="0" rank="0" text="" dxfId="2789">
      <formula>W32&gt;0</formula>
    </cfRule>
  </conditionalFormatting>
  <conditionalFormatting sqref="W34">
    <cfRule type="cellIs" priority="1767" operator="equal" aboveAverage="0" equalAverage="0" bottom="0" percent="0" rank="0" text="" dxfId="2790">
      <formula>"В"</formula>
    </cfRule>
  </conditionalFormatting>
  <conditionalFormatting sqref="W34">
    <cfRule type="cellIs" priority="1768" operator="greaterThan" aboveAverage="0" equalAverage="0" bottom="0" percent="0" rank="0" text="" dxfId="2791">
      <formula>0</formula>
    </cfRule>
    <cfRule type="expression" priority="1769" aboveAverage="0" equalAverage="0" bottom="0" percent="0" rank="0" text="" dxfId="2792">
      <formula>W33&gt;0</formula>
    </cfRule>
  </conditionalFormatting>
  <conditionalFormatting sqref="W35">
    <cfRule type="cellIs" priority="1770" operator="equal" aboveAverage="0" equalAverage="0" bottom="0" percent="0" rank="0" text="" dxfId="2793">
      <formula>"В"</formula>
    </cfRule>
  </conditionalFormatting>
  <conditionalFormatting sqref="W35">
    <cfRule type="cellIs" priority="1771" operator="greaterThan" aboveAverage="0" equalAverage="0" bottom="0" percent="0" rank="0" text="" dxfId="2794">
      <formula>0</formula>
    </cfRule>
    <cfRule type="expression" priority="1772" aboveAverage="0" equalAverage="0" bottom="0" percent="0" rank="0" text="" dxfId="2795">
      <formula>W34&gt;0</formula>
    </cfRule>
  </conditionalFormatting>
  <conditionalFormatting sqref="W36">
    <cfRule type="cellIs" priority="1773" operator="equal" aboveAverage="0" equalAverage="0" bottom="0" percent="0" rank="0" text="" dxfId="2796">
      <formula>"В"</formula>
    </cfRule>
  </conditionalFormatting>
  <conditionalFormatting sqref="W36">
    <cfRule type="cellIs" priority="1774" operator="greaterThan" aboveAverage="0" equalAverage="0" bottom="0" percent="0" rank="0" text="" dxfId="2797">
      <formula>0</formula>
    </cfRule>
    <cfRule type="expression" priority="1775" aboveAverage="0" equalAverage="0" bottom="0" percent="0" rank="0" text="" dxfId="2798">
      <formula>W35&gt;0</formula>
    </cfRule>
  </conditionalFormatting>
  <conditionalFormatting sqref="W37">
    <cfRule type="cellIs" priority="1776" operator="equal" aboveAverage="0" equalAverage="0" bottom="0" percent="0" rank="0" text="" dxfId="2799">
      <formula>"В"</formula>
    </cfRule>
  </conditionalFormatting>
  <conditionalFormatting sqref="W37">
    <cfRule type="cellIs" priority="1777" operator="greaterThan" aboveAverage="0" equalAverage="0" bottom="0" percent="0" rank="0" text="" dxfId="2800">
      <formula>0</formula>
    </cfRule>
    <cfRule type="expression" priority="1778" aboveAverage="0" equalAverage="0" bottom="0" percent="0" rank="0" text="" dxfId="2801">
      <formula>W36&gt;0</formula>
    </cfRule>
  </conditionalFormatting>
  <conditionalFormatting sqref="W38">
    <cfRule type="cellIs" priority="1779" operator="equal" aboveAverage="0" equalAverage="0" bottom="0" percent="0" rank="0" text="" dxfId="2802">
      <formula>"В"</formula>
    </cfRule>
  </conditionalFormatting>
  <conditionalFormatting sqref="W38">
    <cfRule type="cellIs" priority="1780" operator="greaterThan" aboveAverage="0" equalAverage="0" bottom="0" percent="0" rank="0" text="" dxfId="2803">
      <formula>0</formula>
    </cfRule>
    <cfRule type="expression" priority="1781" aboveAverage="0" equalAverage="0" bottom="0" percent="0" rank="0" text="" dxfId="2804">
      <formula>W37&gt;0</formula>
    </cfRule>
  </conditionalFormatting>
  <conditionalFormatting sqref="W39">
    <cfRule type="cellIs" priority="1782" operator="equal" aboveAverage="0" equalAverage="0" bottom="0" percent="0" rank="0" text="" dxfId="2805">
      <formula>"В"</formula>
    </cfRule>
  </conditionalFormatting>
  <conditionalFormatting sqref="W39">
    <cfRule type="cellIs" priority="1783" operator="greaterThan" aboveAverage="0" equalAverage="0" bottom="0" percent="0" rank="0" text="" dxfId="2806">
      <formula>0</formula>
    </cfRule>
    <cfRule type="expression" priority="1784" aboveAverage="0" equalAverage="0" bottom="0" percent="0" rank="0" text="" dxfId="2807">
      <formula>W38&gt;0</formula>
    </cfRule>
  </conditionalFormatting>
  <conditionalFormatting sqref="W40">
    <cfRule type="cellIs" priority="1785" operator="equal" aboveAverage="0" equalAverage="0" bottom="0" percent="0" rank="0" text="" dxfId="2808">
      <formula>"В"</formula>
    </cfRule>
  </conditionalFormatting>
  <conditionalFormatting sqref="W40">
    <cfRule type="cellIs" priority="1786" operator="greaterThan" aboveAverage="0" equalAverage="0" bottom="0" percent="0" rank="0" text="" dxfId="2809">
      <formula>0</formula>
    </cfRule>
    <cfRule type="expression" priority="1787" aboveAverage="0" equalAverage="0" bottom="0" percent="0" rank="0" text="" dxfId="2810">
      <formula>W39&gt;0</formula>
    </cfRule>
  </conditionalFormatting>
  <conditionalFormatting sqref="W41">
    <cfRule type="cellIs" priority="1788" operator="equal" aboveAverage="0" equalAverage="0" bottom="0" percent="0" rank="0" text="" dxfId="2811">
      <formula>"В"</formula>
    </cfRule>
  </conditionalFormatting>
  <conditionalFormatting sqref="W41">
    <cfRule type="cellIs" priority="1789" operator="greaterThan" aboveAverage="0" equalAverage="0" bottom="0" percent="0" rank="0" text="" dxfId="2812">
      <formula>0</formula>
    </cfRule>
    <cfRule type="expression" priority="1790" aboveAverage="0" equalAverage="0" bottom="0" percent="0" rank="0" text="" dxfId="2813">
      <formula>W40&gt;0</formula>
    </cfRule>
  </conditionalFormatting>
  <conditionalFormatting sqref="W42">
    <cfRule type="cellIs" priority="1791" operator="equal" aboveAverage="0" equalAverage="0" bottom="0" percent="0" rank="0" text="" dxfId="2814">
      <formula>"В"</formula>
    </cfRule>
  </conditionalFormatting>
  <conditionalFormatting sqref="W42">
    <cfRule type="cellIs" priority="1792" operator="greaterThan" aboveAverage="0" equalAverage="0" bottom="0" percent="0" rank="0" text="" dxfId="2815">
      <formula>0</formula>
    </cfRule>
    <cfRule type="expression" priority="1793" aboveAverage="0" equalAverage="0" bottom="0" percent="0" rank="0" text="" dxfId="2816">
      <formula>W41&gt;0</formula>
    </cfRule>
  </conditionalFormatting>
  <conditionalFormatting sqref="W43">
    <cfRule type="cellIs" priority="1794" operator="equal" aboveAverage="0" equalAverage="0" bottom="0" percent="0" rank="0" text="" dxfId="2817">
      <formula>"В"</formula>
    </cfRule>
  </conditionalFormatting>
  <conditionalFormatting sqref="W43">
    <cfRule type="cellIs" priority="1795" operator="greaterThan" aboveAverage="0" equalAverage="0" bottom="0" percent="0" rank="0" text="" dxfId="2818">
      <formula>0</formula>
    </cfRule>
    <cfRule type="expression" priority="1796" aboveAverage="0" equalAverage="0" bottom="0" percent="0" rank="0" text="" dxfId="2819">
      <formula>W42&gt;0</formula>
    </cfRule>
  </conditionalFormatting>
  <conditionalFormatting sqref="W44">
    <cfRule type="cellIs" priority="1797" operator="equal" aboveAverage="0" equalAverage="0" bottom="0" percent="0" rank="0" text="" dxfId="2820">
      <formula>"В"</formula>
    </cfRule>
  </conditionalFormatting>
  <conditionalFormatting sqref="W44">
    <cfRule type="cellIs" priority="1798" operator="greaterThan" aboveAverage="0" equalAverage="0" bottom="0" percent="0" rank="0" text="" dxfId="2821">
      <formula>0</formula>
    </cfRule>
    <cfRule type="expression" priority="1799" aboveAverage="0" equalAverage="0" bottom="0" percent="0" rank="0" text="" dxfId="2822">
      <formula>W43&gt;0</formula>
    </cfRule>
  </conditionalFormatting>
  <conditionalFormatting sqref="W45">
    <cfRule type="cellIs" priority="1800" operator="equal" aboveAverage="0" equalAverage="0" bottom="0" percent="0" rank="0" text="" dxfId="2823">
      <formula>"В"</formula>
    </cfRule>
  </conditionalFormatting>
  <conditionalFormatting sqref="W45">
    <cfRule type="cellIs" priority="1801" operator="greaterThan" aboveAverage="0" equalAverage="0" bottom="0" percent="0" rank="0" text="" dxfId="2824">
      <formula>0</formula>
    </cfRule>
    <cfRule type="expression" priority="1802" aboveAverage="0" equalAverage="0" bottom="0" percent="0" rank="0" text="" dxfId="2825">
      <formula>W44&gt;0</formula>
    </cfRule>
  </conditionalFormatting>
  <conditionalFormatting sqref="W46">
    <cfRule type="cellIs" priority="1803" operator="equal" aboveAverage="0" equalAverage="0" bottom="0" percent="0" rank="0" text="" dxfId="2826">
      <formula>"В"</formula>
    </cfRule>
  </conditionalFormatting>
  <conditionalFormatting sqref="W46">
    <cfRule type="cellIs" priority="1804" operator="greaterThan" aboveAverage="0" equalAverage="0" bottom="0" percent="0" rank="0" text="" dxfId="2827">
      <formula>0</formula>
    </cfRule>
    <cfRule type="expression" priority="1805" aboveAverage="0" equalAverage="0" bottom="0" percent="0" rank="0" text="" dxfId="2828">
      <formula>W45&gt;0</formula>
    </cfRule>
  </conditionalFormatting>
  <conditionalFormatting sqref="W47">
    <cfRule type="cellIs" priority="1806" operator="equal" aboveAverage="0" equalAverage="0" bottom="0" percent="0" rank="0" text="" dxfId="2829">
      <formula>"В"</formula>
    </cfRule>
  </conditionalFormatting>
  <conditionalFormatting sqref="W47">
    <cfRule type="cellIs" priority="1807" operator="greaterThan" aboveAverage="0" equalAverage="0" bottom="0" percent="0" rank="0" text="" dxfId="2830">
      <formula>0</formula>
    </cfRule>
    <cfRule type="expression" priority="1808" aboveAverage="0" equalAverage="0" bottom="0" percent="0" rank="0" text="" dxfId="2831">
      <formula>W46&gt;0</formula>
    </cfRule>
  </conditionalFormatting>
  <conditionalFormatting sqref="W48">
    <cfRule type="cellIs" priority="1809" operator="equal" aboveAverage="0" equalAverage="0" bottom="0" percent="0" rank="0" text="" dxfId="2832">
      <formula>"В"</formula>
    </cfRule>
  </conditionalFormatting>
  <conditionalFormatting sqref="W48">
    <cfRule type="cellIs" priority="1810" operator="greaterThan" aboveAverage="0" equalAverage="0" bottom="0" percent="0" rank="0" text="" dxfId="2833">
      <formula>0</formula>
    </cfRule>
    <cfRule type="expression" priority="1811" aboveAverage="0" equalAverage="0" bottom="0" percent="0" rank="0" text="" dxfId="2834">
      <formula>W47&gt;0</formula>
    </cfRule>
  </conditionalFormatting>
  <conditionalFormatting sqref="W49">
    <cfRule type="cellIs" priority="1812" operator="equal" aboveAverage="0" equalAverage="0" bottom="0" percent="0" rank="0" text="" dxfId="2835">
      <formula>"В"</formula>
    </cfRule>
  </conditionalFormatting>
  <conditionalFormatting sqref="W49">
    <cfRule type="cellIs" priority="1813" operator="greaterThan" aboveAverage="0" equalAverage="0" bottom="0" percent="0" rank="0" text="" dxfId="2836">
      <formula>0</formula>
    </cfRule>
    <cfRule type="expression" priority="1814" aboveAverage="0" equalAverage="0" bottom="0" percent="0" rank="0" text="" dxfId="2837">
      <formula>W48&gt;0</formula>
    </cfRule>
  </conditionalFormatting>
  <conditionalFormatting sqref="X22">
    <cfRule type="cellIs" priority="1815" operator="equal" aboveAverage="0" equalAverage="0" bottom="0" percent="0" rank="0" text="" dxfId="2838">
      <formula>"В"</formula>
    </cfRule>
  </conditionalFormatting>
  <conditionalFormatting sqref="X22">
    <cfRule type="cellIs" priority="1816" operator="greaterThan" aboveAverage="0" equalAverage="0" bottom="0" percent="0" rank="0" text="" dxfId="2839">
      <formula>0</formula>
    </cfRule>
    <cfRule type="expression" priority="1817" aboveAverage="0" equalAverage="0" bottom="0" percent="0" rank="0" text="" dxfId="2840">
      <formula>X21&gt;0</formula>
    </cfRule>
  </conditionalFormatting>
  <conditionalFormatting sqref="X23">
    <cfRule type="cellIs" priority="1818" operator="equal" aboveAverage="0" equalAverage="0" bottom="0" percent="0" rank="0" text="" dxfId="2841">
      <formula>"В"</formula>
    </cfRule>
  </conditionalFormatting>
  <conditionalFormatting sqref="X23">
    <cfRule type="cellIs" priority="1819" operator="greaterThan" aboveAverage="0" equalAverage="0" bottom="0" percent="0" rank="0" text="" dxfId="2842">
      <formula>0</formula>
    </cfRule>
    <cfRule type="expression" priority="1820" aboveAverage="0" equalAverage="0" bottom="0" percent="0" rank="0" text="" dxfId="2843">
      <formula>X22&gt;0</formula>
    </cfRule>
  </conditionalFormatting>
  <conditionalFormatting sqref="X24">
    <cfRule type="cellIs" priority="1821" operator="equal" aboveAverage="0" equalAverage="0" bottom="0" percent="0" rank="0" text="" dxfId="2844">
      <formula>"В"</formula>
    </cfRule>
  </conditionalFormatting>
  <conditionalFormatting sqref="X24">
    <cfRule type="cellIs" priority="1822" operator="greaterThan" aboveAverage="0" equalAverage="0" bottom="0" percent="0" rank="0" text="" dxfId="2845">
      <formula>0</formula>
    </cfRule>
    <cfRule type="expression" priority="1823" aboveAverage="0" equalAverage="0" bottom="0" percent="0" rank="0" text="" dxfId="2846">
      <formula>X23&gt;0</formula>
    </cfRule>
  </conditionalFormatting>
  <conditionalFormatting sqref="X25">
    <cfRule type="cellIs" priority="1824" operator="equal" aboveAverage="0" equalAverage="0" bottom="0" percent="0" rank="0" text="" dxfId="2847">
      <formula>"В"</formula>
    </cfRule>
  </conditionalFormatting>
  <conditionalFormatting sqref="X25">
    <cfRule type="cellIs" priority="1825" operator="greaterThan" aboveAverage="0" equalAverage="0" bottom="0" percent="0" rank="0" text="" dxfId="2848">
      <formula>0</formula>
    </cfRule>
    <cfRule type="expression" priority="1826" aboveAverage="0" equalAverage="0" bottom="0" percent="0" rank="0" text="" dxfId="2849">
      <formula>X24&gt;0</formula>
    </cfRule>
  </conditionalFormatting>
  <conditionalFormatting sqref="X26">
    <cfRule type="cellIs" priority="1827" operator="equal" aboveAverage="0" equalAverage="0" bottom="0" percent="0" rank="0" text="" dxfId="2850">
      <formula>"В"</formula>
    </cfRule>
  </conditionalFormatting>
  <conditionalFormatting sqref="X26">
    <cfRule type="cellIs" priority="1828" operator="greaterThan" aboveAverage="0" equalAverage="0" bottom="0" percent="0" rank="0" text="" dxfId="2851">
      <formula>0</formula>
    </cfRule>
    <cfRule type="expression" priority="1829" aboveAverage="0" equalAverage="0" bottom="0" percent="0" rank="0" text="" dxfId="2852">
      <formula>X25&gt;0</formula>
    </cfRule>
  </conditionalFormatting>
  <conditionalFormatting sqref="X27">
    <cfRule type="cellIs" priority="1830" operator="equal" aboveAverage="0" equalAverage="0" bottom="0" percent="0" rank="0" text="" dxfId="2853">
      <formula>"В"</formula>
    </cfRule>
  </conditionalFormatting>
  <conditionalFormatting sqref="X27">
    <cfRule type="cellIs" priority="1831" operator="greaterThan" aboveAverage="0" equalAverage="0" bottom="0" percent="0" rank="0" text="" dxfId="2854">
      <formula>0</formula>
    </cfRule>
    <cfRule type="expression" priority="1832" aboveAverage="0" equalAverage="0" bottom="0" percent="0" rank="0" text="" dxfId="2855">
      <formula>X26&gt;0</formula>
    </cfRule>
  </conditionalFormatting>
  <conditionalFormatting sqref="X28">
    <cfRule type="cellIs" priority="1833" operator="equal" aboveAverage="0" equalAverage="0" bottom="0" percent="0" rank="0" text="" dxfId="2856">
      <formula>"В"</formula>
    </cfRule>
  </conditionalFormatting>
  <conditionalFormatting sqref="X28">
    <cfRule type="cellIs" priority="1834" operator="greaterThan" aboveAverage="0" equalAverage="0" bottom="0" percent="0" rank="0" text="" dxfId="2857">
      <formula>0</formula>
    </cfRule>
    <cfRule type="expression" priority="1835" aboveAverage="0" equalAverage="0" bottom="0" percent="0" rank="0" text="" dxfId="2858">
      <formula>X27&gt;0</formula>
    </cfRule>
  </conditionalFormatting>
  <conditionalFormatting sqref="X29">
    <cfRule type="cellIs" priority="1836" operator="equal" aboveAverage="0" equalAverage="0" bottom="0" percent="0" rank="0" text="" dxfId="2859">
      <formula>"В"</formula>
    </cfRule>
  </conditionalFormatting>
  <conditionalFormatting sqref="X29">
    <cfRule type="cellIs" priority="1837" operator="greaterThan" aboveAverage="0" equalAverage="0" bottom="0" percent="0" rank="0" text="" dxfId="2860">
      <formula>0</formula>
    </cfRule>
    <cfRule type="expression" priority="1838" aboveAverage="0" equalAverage="0" bottom="0" percent="0" rank="0" text="" dxfId="2861">
      <formula>X28&gt;0</formula>
    </cfRule>
  </conditionalFormatting>
  <conditionalFormatting sqref="X30">
    <cfRule type="cellIs" priority="1839" operator="equal" aboveAverage="0" equalAverage="0" bottom="0" percent="0" rank="0" text="" dxfId="2862">
      <formula>"В"</formula>
    </cfRule>
  </conditionalFormatting>
  <conditionalFormatting sqref="X30">
    <cfRule type="cellIs" priority="1840" operator="greaterThan" aboveAverage="0" equalAverage="0" bottom="0" percent="0" rank="0" text="" dxfId="2863">
      <formula>0</formula>
    </cfRule>
    <cfRule type="expression" priority="1841" aboveAverage="0" equalAverage="0" bottom="0" percent="0" rank="0" text="" dxfId="2864">
      <formula>X29&gt;0</formula>
    </cfRule>
  </conditionalFormatting>
  <conditionalFormatting sqref="X31">
    <cfRule type="cellIs" priority="1842" operator="equal" aboveAverage="0" equalAverage="0" bottom="0" percent="0" rank="0" text="" dxfId="2865">
      <formula>"В"</formula>
    </cfRule>
  </conditionalFormatting>
  <conditionalFormatting sqref="X31">
    <cfRule type="cellIs" priority="1843" operator="greaterThan" aboveAverage="0" equalAverage="0" bottom="0" percent="0" rank="0" text="" dxfId="2866">
      <formula>0</formula>
    </cfRule>
    <cfRule type="expression" priority="1844" aboveAverage="0" equalAverage="0" bottom="0" percent="0" rank="0" text="" dxfId="2867">
      <formula>X30&gt;0</formula>
    </cfRule>
  </conditionalFormatting>
  <conditionalFormatting sqref="X32">
    <cfRule type="cellIs" priority="1845" operator="equal" aboveAverage="0" equalAverage="0" bottom="0" percent="0" rank="0" text="" dxfId="2868">
      <formula>"В"</formula>
    </cfRule>
  </conditionalFormatting>
  <conditionalFormatting sqref="X32">
    <cfRule type="cellIs" priority="1846" operator="greaterThan" aboveAverage="0" equalAverage="0" bottom="0" percent="0" rank="0" text="" dxfId="2869">
      <formula>0</formula>
    </cfRule>
    <cfRule type="expression" priority="1847" aboveAverage="0" equalAverage="0" bottom="0" percent="0" rank="0" text="" dxfId="2870">
      <formula>X31&gt;0</formula>
    </cfRule>
  </conditionalFormatting>
  <conditionalFormatting sqref="X33">
    <cfRule type="cellIs" priority="1848" operator="equal" aboveAverage="0" equalAverage="0" bottom="0" percent="0" rank="0" text="" dxfId="2871">
      <formula>"В"</formula>
    </cfRule>
  </conditionalFormatting>
  <conditionalFormatting sqref="X33">
    <cfRule type="cellIs" priority="1849" operator="greaterThan" aboveAverage="0" equalAverage="0" bottom="0" percent="0" rank="0" text="" dxfId="2872">
      <formula>0</formula>
    </cfRule>
    <cfRule type="expression" priority="1850" aboveAverage="0" equalAverage="0" bottom="0" percent="0" rank="0" text="" dxfId="2873">
      <formula>X32&gt;0</formula>
    </cfRule>
  </conditionalFormatting>
  <conditionalFormatting sqref="X34">
    <cfRule type="cellIs" priority="1851" operator="equal" aboveAverage="0" equalAverage="0" bottom="0" percent="0" rank="0" text="" dxfId="2874">
      <formula>"В"</formula>
    </cfRule>
  </conditionalFormatting>
  <conditionalFormatting sqref="X34">
    <cfRule type="cellIs" priority="1852" operator="greaterThan" aboveAverage="0" equalAverage="0" bottom="0" percent="0" rank="0" text="" dxfId="2875">
      <formula>0</formula>
    </cfRule>
    <cfRule type="expression" priority="1853" aboveAverage="0" equalAverage="0" bottom="0" percent="0" rank="0" text="" dxfId="2876">
      <formula>X33&gt;0</formula>
    </cfRule>
  </conditionalFormatting>
  <conditionalFormatting sqref="X35">
    <cfRule type="cellIs" priority="1854" operator="equal" aboveAverage="0" equalAverage="0" bottom="0" percent="0" rank="0" text="" dxfId="2877">
      <formula>"В"</formula>
    </cfRule>
  </conditionalFormatting>
  <conditionalFormatting sqref="X35">
    <cfRule type="cellIs" priority="1855" operator="greaterThan" aboveAverage="0" equalAverage="0" bottom="0" percent="0" rank="0" text="" dxfId="2878">
      <formula>0</formula>
    </cfRule>
    <cfRule type="expression" priority="1856" aboveAverage="0" equalAverage="0" bottom="0" percent="0" rank="0" text="" dxfId="2879">
      <formula>X34&gt;0</formula>
    </cfRule>
  </conditionalFormatting>
  <conditionalFormatting sqref="X36">
    <cfRule type="cellIs" priority="1857" operator="equal" aboveAverage="0" equalAverage="0" bottom="0" percent="0" rank="0" text="" dxfId="2880">
      <formula>"В"</formula>
    </cfRule>
  </conditionalFormatting>
  <conditionalFormatting sqref="X36">
    <cfRule type="cellIs" priority="1858" operator="greaterThan" aboveAverage="0" equalAverage="0" bottom="0" percent="0" rank="0" text="" dxfId="2881">
      <formula>0</formula>
    </cfRule>
    <cfRule type="expression" priority="1859" aboveAverage="0" equalAverage="0" bottom="0" percent="0" rank="0" text="" dxfId="2882">
      <formula>X35&gt;0</formula>
    </cfRule>
  </conditionalFormatting>
  <conditionalFormatting sqref="X37">
    <cfRule type="cellIs" priority="1860" operator="equal" aboveAverage="0" equalAverage="0" bottom="0" percent="0" rank="0" text="" dxfId="2883">
      <formula>"В"</formula>
    </cfRule>
  </conditionalFormatting>
  <conditionalFormatting sqref="X37">
    <cfRule type="cellIs" priority="1861" operator="greaterThan" aboveAverage="0" equalAverage="0" bottom="0" percent="0" rank="0" text="" dxfId="2884">
      <formula>0</formula>
    </cfRule>
    <cfRule type="expression" priority="1862" aboveAverage="0" equalAverage="0" bottom="0" percent="0" rank="0" text="" dxfId="2885">
      <formula>X36&gt;0</formula>
    </cfRule>
  </conditionalFormatting>
  <conditionalFormatting sqref="X38">
    <cfRule type="cellIs" priority="1863" operator="equal" aboveAverage="0" equalAverage="0" bottom="0" percent="0" rank="0" text="" dxfId="2886">
      <formula>"В"</formula>
    </cfRule>
  </conditionalFormatting>
  <conditionalFormatting sqref="X38">
    <cfRule type="cellIs" priority="1864" operator="greaterThan" aboveAverage="0" equalAverage="0" bottom="0" percent="0" rank="0" text="" dxfId="2887">
      <formula>0</formula>
    </cfRule>
    <cfRule type="expression" priority="1865" aboveAverage="0" equalAverage="0" bottom="0" percent="0" rank="0" text="" dxfId="2888">
      <formula>X37&gt;0</formula>
    </cfRule>
  </conditionalFormatting>
  <conditionalFormatting sqref="X39">
    <cfRule type="cellIs" priority="1866" operator="equal" aboveAverage="0" equalAverage="0" bottom="0" percent="0" rank="0" text="" dxfId="2889">
      <formula>"В"</formula>
    </cfRule>
  </conditionalFormatting>
  <conditionalFormatting sqref="X39">
    <cfRule type="cellIs" priority="1867" operator="greaterThan" aboveAverage="0" equalAverage="0" bottom="0" percent="0" rank="0" text="" dxfId="2890">
      <formula>0</formula>
    </cfRule>
    <cfRule type="expression" priority="1868" aboveAverage="0" equalAverage="0" bottom="0" percent="0" rank="0" text="" dxfId="2891">
      <formula>X38&gt;0</formula>
    </cfRule>
  </conditionalFormatting>
  <conditionalFormatting sqref="X40">
    <cfRule type="cellIs" priority="1869" operator="equal" aboveAverage="0" equalAverage="0" bottom="0" percent="0" rank="0" text="" dxfId="2892">
      <formula>"В"</formula>
    </cfRule>
  </conditionalFormatting>
  <conditionalFormatting sqref="X40">
    <cfRule type="cellIs" priority="1870" operator="greaterThan" aboveAverage="0" equalAverage="0" bottom="0" percent="0" rank="0" text="" dxfId="2893">
      <formula>0</formula>
    </cfRule>
    <cfRule type="expression" priority="1871" aboveAverage="0" equalAverage="0" bottom="0" percent="0" rank="0" text="" dxfId="2894">
      <formula>X39&gt;0</formula>
    </cfRule>
  </conditionalFormatting>
  <conditionalFormatting sqref="X41">
    <cfRule type="cellIs" priority="1872" operator="equal" aboveAverage="0" equalAverage="0" bottom="0" percent="0" rank="0" text="" dxfId="2895">
      <formula>"В"</formula>
    </cfRule>
  </conditionalFormatting>
  <conditionalFormatting sqref="X41">
    <cfRule type="cellIs" priority="1873" operator="greaterThan" aboveAverage="0" equalAverage="0" bottom="0" percent="0" rank="0" text="" dxfId="2896">
      <formula>0</formula>
    </cfRule>
    <cfRule type="expression" priority="1874" aboveAverage="0" equalAverage="0" bottom="0" percent="0" rank="0" text="" dxfId="2897">
      <formula>X40&gt;0</formula>
    </cfRule>
  </conditionalFormatting>
  <conditionalFormatting sqref="X42">
    <cfRule type="cellIs" priority="1875" operator="equal" aboveAverage="0" equalAverage="0" bottom="0" percent="0" rank="0" text="" dxfId="2898">
      <formula>"В"</formula>
    </cfRule>
  </conditionalFormatting>
  <conditionalFormatting sqref="X42">
    <cfRule type="cellIs" priority="1876" operator="greaterThan" aboveAverage="0" equalAverage="0" bottom="0" percent="0" rank="0" text="" dxfId="2899">
      <formula>0</formula>
    </cfRule>
    <cfRule type="expression" priority="1877" aboveAverage="0" equalAverage="0" bottom="0" percent="0" rank="0" text="" dxfId="2900">
      <formula>X41&gt;0</formula>
    </cfRule>
  </conditionalFormatting>
  <conditionalFormatting sqref="X43">
    <cfRule type="cellIs" priority="1878" operator="equal" aboveAverage="0" equalAverage="0" bottom="0" percent="0" rank="0" text="" dxfId="2901">
      <formula>"В"</formula>
    </cfRule>
  </conditionalFormatting>
  <conditionalFormatting sqref="X43">
    <cfRule type="cellIs" priority="1879" operator="greaterThan" aboveAverage="0" equalAverage="0" bottom="0" percent="0" rank="0" text="" dxfId="2902">
      <formula>0</formula>
    </cfRule>
    <cfRule type="expression" priority="1880" aboveAverage="0" equalAverage="0" bottom="0" percent="0" rank="0" text="" dxfId="2903">
      <formula>X42&gt;0</formula>
    </cfRule>
  </conditionalFormatting>
  <conditionalFormatting sqref="X44">
    <cfRule type="cellIs" priority="1881" operator="equal" aboveAverage="0" equalAverage="0" bottom="0" percent="0" rank="0" text="" dxfId="2904">
      <formula>"В"</formula>
    </cfRule>
  </conditionalFormatting>
  <conditionalFormatting sqref="X44">
    <cfRule type="cellIs" priority="1882" operator="greaterThan" aboveAverage="0" equalAverage="0" bottom="0" percent="0" rank="0" text="" dxfId="2905">
      <formula>0</formula>
    </cfRule>
    <cfRule type="expression" priority="1883" aboveAverage="0" equalAverage="0" bottom="0" percent="0" rank="0" text="" dxfId="2906">
      <formula>X43&gt;0</formula>
    </cfRule>
  </conditionalFormatting>
  <conditionalFormatting sqref="X45">
    <cfRule type="cellIs" priority="1884" operator="equal" aboveAverage="0" equalAverage="0" bottom="0" percent="0" rank="0" text="" dxfId="2907">
      <formula>"В"</formula>
    </cfRule>
  </conditionalFormatting>
  <conditionalFormatting sqref="X45">
    <cfRule type="cellIs" priority="1885" operator="greaterThan" aboveAverage="0" equalAverage="0" bottom="0" percent="0" rank="0" text="" dxfId="2908">
      <formula>0</formula>
    </cfRule>
    <cfRule type="expression" priority="1886" aboveAverage="0" equalAverage="0" bottom="0" percent="0" rank="0" text="" dxfId="2909">
      <formula>X44&gt;0</formula>
    </cfRule>
  </conditionalFormatting>
  <conditionalFormatting sqref="X46">
    <cfRule type="cellIs" priority="1887" operator="equal" aboveAverage="0" equalAverage="0" bottom="0" percent="0" rank="0" text="" dxfId="2910">
      <formula>"В"</formula>
    </cfRule>
  </conditionalFormatting>
  <conditionalFormatting sqref="X46">
    <cfRule type="cellIs" priority="1888" operator="greaterThan" aboveAverage="0" equalAverage="0" bottom="0" percent="0" rank="0" text="" dxfId="2911">
      <formula>0</formula>
    </cfRule>
    <cfRule type="expression" priority="1889" aboveAverage="0" equalAverage="0" bottom="0" percent="0" rank="0" text="" dxfId="2912">
      <formula>X45&gt;0</formula>
    </cfRule>
  </conditionalFormatting>
  <conditionalFormatting sqref="X47">
    <cfRule type="cellIs" priority="1890" operator="equal" aboveAverage="0" equalAverage="0" bottom="0" percent="0" rank="0" text="" dxfId="2913">
      <formula>"В"</formula>
    </cfRule>
  </conditionalFormatting>
  <conditionalFormatting sqref="X47">
    <cfRule type="cellIs" priority="1891" operator="greaterThan" aboveAverage="0" equalAverage="0" bottom="0" percent="0" rank="0" text="" dxfId="2914">
      <formula>0</formula>
    </cfRule>
    <cfRule type="expression" priority="1892" aboveAverage="0" equalAverage="0" bottom="0" percent="0" rank="0" text="" dxfId="2915">
      <formula>X46&gt;0</formula>
    </cfRule>
  </conditionalFormatting>
  <conditionalFormatting sqref="X48">
    <cfRule type="cellIs" priority="1893" operator="equal" aboveAverage="0" equalAverage="0" bottom="0" percent="0" rank="0" text="" dxfId="2916">
      <formula>"В"</formula>
    </cfRule>
  </conditionalFormatting>
  <conditionalFormatting sqref="X48">
    <cfRule type="cellIs" priority="1894" operator="greaterThan" aboveAverage="0" equalAverage="0" bottom="0" percent="0" rank="0" text="" dxfId="2917">
      <formula>0</formula>
    </cfRule>
    <cfRule type="expression" priority="1895" aboveAverage="0" equalAverage="0" bottom="0" percent="0" rank="0" text="" dxfId="2918">
      <formula>X47&gt;0</formula>
    </cfRule>
  </conditionalFormatting>
  <conditionalFormatting sqref="X49">
    <cfRule type="cellIs" priority="1896" operator="equal" aboveAverage="0" equalAverage="0" bottom="0" percent="0" rank="0" text="" dxfId="2919">
      <formula>"В"</formula>
    </cfRule>
  </conditionalFormatting>
  <conditionalFormatting sqref="X49">
    <cfRule type="cellIs" priority="1897" operator="greaterThan" aboveAverage="0" equalAverage="0" bottom="0" percent="0" rank="0" text="" dxfId="2920">
      <formula>0</formula>
    </cfRule>
    <cfRule type="expression" priority="1898" aboveAverage="0" equalAverage="0" bottom="0" percent="0" rank="0" text="" dxfId="2921">
      <formula>X48&gt;0</formula>
    </cfRule>
  </conditionalFormatting>
  <conditionalFormatting sqref="Y22">
    <cfRule type="cellIs" priority="1899" operator="equal" aboveAverage="0" equalAverage="0" bottom="0" percent="0" rank="0" text="" dxfId="2922">
      <formula>"В"</formula>
    </cfRule>
  </conditionalFormatting>
  <conditionalFormatting sqref="Y22">
    <cfRule type="cellIs" priority="1900" operator="greaterThan" aboveAverage="0" equalAverage="0" bottom="0" percent="0" rank="0" text="" dxfId="2923">
      <formula>0</formula>
    </cfRule>
    <cfRule type="expression" priority="1901" aboveAverage="0" equalAverage="0" bottom="0" percent="0" rank="0" text="" dxfId="2924">
      <formula>Y21&gt;0</formula>
    </cfRule>
  </conditionalFormatting>
  <conditionalFormatting sqref="Y23">
    <cfRule type="cellIs" priority="1902" operator="equal" aboveAverage="0" equalAverage="0" bottom="0" percent="0" rank="0" text="" dxfId="2925">
      <formula>"В"</formula>
    </cfRule>
  </conditionalFormatting>
  <conditionalFormatting sqref="Y23">
    <cfRule type="cellIs" priority="1903" operator="greaterThan" aboveAverage="0" equalAverage="0" bottom="0" percent="0" rank="0" text="" dxfId="2926">
      <formula>0</formula>
    </cfRule>
    <cfRule type="expression" priority="1904" aboveAverage="0" equalAverage="0" bottom="0" percent="0" rank="0" text="" dxfId="2927">
      <formula>Y22&gt;0</formula>
    </cfRule>
  </conditionalFormatting>
  <conditionalFormatting sqref="Y24">
    <cfRule type="cellIs" priority="1905" operator="equal" aboveAverage="0" equalAverage="0" bottom="0" percent="0" rank="0" text="" dxfId="2928">
      <formula>"В"</formula>
    </cfRule>
  </conditionalFormatting>
  <conditionalFormatting sqref="Y24">
    <cfRule type="cellIs" priority="1906" operator="greaterThan" aboveAverage="0" equalAverage="0" bottom="0" percent="0" rank="0" text="" dxfId="2929">
      <formula>0</formula>
    </cfRule>
    <cfRule type="expression" priority="1907" aboveAverage="0" equalAverage="0" bottom="0" percent="0" rank="0" text="" dxfId="2930">
      <formula>Y23&gt;0</formula>
    </cfRule>
  </conditionalFormatting>
  <conditionalFormatting sqref="Y25">
    <cfRule type="cellIs" priority="1908" operator="equal" aboveAverage="0" equalAverage="0" bottom="0" percent="0" rank="0" text="" dxfId="2931">
      <formula>"В"</formula>
    </cfRule>
  </conditionalFormatting>
  <conditionalFormatting sqref="Y25">
    <cfRule type="cellIs" priority="1909" operator="greaterThan" aboveAverage="0" equalAverage="0" bottom="0" percent="0" rank="0" text="" dxfId="2932">
      <formula>0</formula>
    </cfRule>
    <cfRule type="expression" priority="1910" aboveAverage="0" equalAverage="0" bottom="0" percent="0" rank="0" text="" dxfId="2933">
      <formula>Y24&gt;0</formula>
    </cfRule>
  </conditionalFormatting>
  <conditionalFormatting sqref="Y26">
    <cfRule type="cellIs" priority="1911" operator="equal" aboveAverage="0" equalAverage="0" bottom="0" percent="0" rank="0" text="" dxfId="2934">
      <formula>"В"</formula>
    </cfRule>
  </conditionalFormatting>
  <conditionalFormatting sqref="Y26">
    <cfRule type="cellIs" priority="1912" operator="greaterThan" aboveAverage="0" equalAverage="0" bottom="0" percent="0" rank="0" text="" dxfId="2935">
      <formula>0</formula>
    </cfRule>
    <cfRule type="expression" priority="1913" aboveAverage="0" equalAverage="0" bottom="0" percent="0" rank="0" text="" dxfId="2936">
      <formula>Y25&gt;0</formula>
    </cfRule>
  </conditionalFormatting>
  <conditionalFormatting sqref="Y27">
    <cfRule type="cellIs" priority="1914" operator="equal" aboveAverage="0" equalAverage="0" bottom="0" percent="0" rank="0" text="" dxfId="2937">
      <formula>"В"</formula>
    </cfRule>
  </conditionalFormatting>
  <conditionalFormatting sqref="Y27">
    <cfRule type="cellIs" priority="1915" operator="greaterThan" aboveAverage="0" equalAverage="0" bottom="0" percent="0" rank="0" text="" dxfId="2938">
      <formula>0</formula>
    </cfRule>
    <cfRule type="expression" priority="1916" aboveAverage="0" equalAverage="0" bottom="0" percent="0" rank="0" text="" dxfId="2939">
      <formula>Y26&gt;0</formula>
    </cfRule>
  </conditionalFormatting>
  <conditionalFormatting sqref="Y28">
    <cfRule type="cellIs" priority="1917" operator="equal" aboveAverage="0" equalAverage="0" bottom="0" percent="0" rank="0" text="" dxfId="2940">
      <formula>"В"</formula>
    </cfRule>
  </conditionalFormatting>
  <conditionalFormatting sqref="Y28">
    <cfRule type="cellIs" priority="1918" operator="greaterThan" aboveAverage="0" equalAverage="0" bottom="0" percent="0" rank="0" text="" dxfId="2941">
      <formula>0</formula>
    </cfRule>
    <cfRule type="expression" priority="1919" aboveAverage="0" equalAverage="0" bottom="0" percent="0" rank="0" text="" dxfId="2942">
      <formula>Y27&gt;0</formula>
    </cfRule>
  </conditionalFormatting>
  <conditionalFormatting sqref="Y29">
    <cfRule type="cellIs" priority="1920" operator="equal" aboveAverage="0" equalAverage="0" bottom="0" percent="0" rank="0" text="" dxfId="2943">
      <formula>"В"</formula>
    </cfRule>
  </conditionalFormatting>
  <conditionalFormatting sqref="Y29">
    <cfRule type="cellIs" priority="1921" operator="greaterThan" aboveAverage="0" equalAverage="0" bottom="0" percent="0" rank="0" text="" dxfId="2944">
      <formula>0</formula>
    </cfRule>
    <cfRule type="expression" priority="1922" aboveAverage="0" equalAverage="0" bottom="0" percent="0" rank="0" text="" dxfId="2945">
      <formula>Y28&gt;0</formula>
    </cfRule>
  </conditionalFormatting>
  <conditionalFormatting sqref="Y30">
    <cfRule type="cellIs" priority="1923" operator="equal" aboveAverage="0" equalAverage="0" bottom="0" percent="0" rank="0" text="" dxfId="2946">
      <formula>"В"</formula>
    </cfRule>
  </conditionalFormatting>
  <conditionalFormatting sqref="Y30">
    <cfRule type="cellIs" priority="1924" operator="greaterThan" aboveAverage="0" equalAverage="0" bottom="0" percent="0" rank="0" text="" dxfId="2947">
      <formula>0</formula>
    </cfRule>
    <cfRule type="expression" priority="1925" aboveAverage="0" equalAverage="0" bottom="0" percent="0" rank="0" text="" dxfId="2948">
      <formula>Y29&gt;0</formula>
    </cfRule>
  </conditionalFormatting>
  <conditionalFormatting sqref="Y31">
    <cfRule type="cellIs" priority="1926" operator="equal" aboveAverage="0" equalAverage="0" bottom="0" percent="0" rank="0" text="" dxfId="2949">
      <formula>"В"</formula>
    </cfRule>
  </conditionalFormatting>
  <conditionalFormatting sqref="Y31">
    <cfRule type="cellIs" priority="1927" operator="greaterThan" aboveAverage="0" equalAverage="0" bottom="0" percent="0" rank="0" text="" dxfId="2950">
      <formula>0</formula>
    </cfRule>
    <cfRule type="expression" priority="1928" aboveAverage="0" equalAverage="0" bottom="0" percent="0" rank="0" text="" dxfId="2951">
      <formula>Y30&gt;0</formula>
    </cfRule>
  </conditionalFormatting>
  <conditionalFormatting sqref="Y32">
    <cfRule type="cellIs" priority="1929" operator="equal" aboveAverage="0" equalAverage="0" bottom="0" percent="0" rank="0" text="" dxfId="2952">
      <formula>"В"</formula>
    </cfRule>
  </conditionalFormatting>
  <conditionalFormatting sqref="Y32">
    <cfRule type="cellIs" priority="1930" operator="greaterThan" aboveAverage="0" equalAverage="0" bottom="0" percent="0" rank="0" text="" dxfId="2953">
      <formula>0</formula>
    </cfRule>
    <cfRule type="expression" priority="1931" aboveAverage="0" equalAverage="0" bottom="0" percent="0" rank="0" text="" dxfId="2954">
      <formula>Y31&gt;0</formula>
    </cfRule>
  </conditionalFormatting>
  <conditionalFormatting sqref="Y33">
    <cfRule type="cellIs" priority="1932" operator="equal" aboveAverage="0" equalAverage="0" bottom="0" percent="0" rank="0" text="" dxfId="2955">
      <formula>"В"</formula>
    </cfRule>
  </conditionalFormatting>
  <conditionalFormatting sqref="Y33">
    <cfRule type="cellIs" priority="1933" operator="greaterThan" aboveAverage="0" equalAverage="0" bottom="0" percent="0" rank="0" text="" dxfId="2956">
      <formula>0</formula>
    </cfRule>
    <cfRule type="expression" priority="1934" aboveAverage="0" equalAverage="0" bottom="0" percent="0" rank="0" text="" dxfId="2957">
      <formula>Y32&gt;0</formula>
    </cfRule>
  </conditionalFormatting>
  <conditionalFormatting sqref="Y34">
    <cfRule type="cellIs" priority="1935" operator="equal" aboveAverage="0" equalAverage="0" bottom="0" percent="0" rank="0" text="" dxfId="2958">
      <formula>"В"</formula>
    </cfRule>
  </conditionalFormatting>
  <conditionalFormatting sqref="Y34">
    <cfRule type="cellIs" priority="1936" operator="greaterThan" aboveAverage="0" equalAverage="0" bottom="0" percent="0" rank="0" text="" dxfId="2959">
      <formula>0</formula>
    </cfRule>
    <cfRule type="expression" priority="1937" aboveAverage="0" equalAverage="0" bottom="0" percent="0" rank="0" text="" dxfId="2960">
      <formula>Y33&gt;0</formula>
    </cfRule>
  </conditionalFormatting>
  <conditionalFormatting sqref="Y35">
    <cfRule type="cellIs" priority="1938" operator="equal" aboveAverage="0" equalAverage="0" bottom="0" percent="0" rank="0" text="" dxfId="2961">
      <formula>"В"</formula>
    </cfRule>
  </conditionalFormatting>
  <conditionalFormatting sqref="Y35">
    <cfRule type="cellIs" priority="1939" operator="greaterThan" aboveAverage="0" equalAverage="0" bottom="0" percent="0" rank="0" text="" dxfId="2962">
      <formula>0</formula>
    </cfRule>
    <cfRule type="expression" priority="1940" aboveAverage="0" equalAverage="0" bottom="0" percent="0" rank="0" text="" dxfId="2963">
      <formula>Y34&gt;0</formula>
    </cfRule>
  </conditionalFormatting>
  <conditionalFormatting sqref="Y36">
    <cfRule type="cellIs" priority="1941" operator="equal" aboveAverage="0" equalAverage="0" bottom="0" percent="0" rank="0" text="" dxfId="2964">
      <formula>"В"</formula>
    </cfRule>
  </conditionalFormatting>
  <conditionalFormatting sqref="Y36">
    <cfRule type="cellIs" priority="1942" operator="greaterThan" aboveAverage="0" equalAverage="0" bottom="0" percent="0" rank="0" text="" dxfId="2965">
      <formula>0</formula>
    </cfRule>
    <cfRule type="expression" priority="1943" aboveAverage="0" equalAverage="0" bottom="0" percent="0" rank="0" text="" dxfId="2966">
      <formula>Y35&gt;0</formula>
    </cfRule>
  </conditionalFormatting>
  <conditionalFormatting sqref="Y37">
    <cfRule type="cellIs" priority="1944" operator="equal" aboveAverage="0" equalAverage="0" bottom="0" percent="0" rank="0" text="" dxfId="2967">
      <formula>"В"</formula>
    </cfRule>
  </conditionalFormatting>
  <conditionalFormatting sqref="Y37">
    <cfRule type="cellIs" priority="1945" operator="greaterThan" aboveAverage="0" equalAverage="0" bottom="0" percent="0" rank="0" text="" dxfId="2968">
      <formula>0</formula>
    </cfRule>
    <cfRule type="expression" priority="1946" aboveAverage="0" equalAverage="0" bottom="0" percent="0" rank="0" text="" dxfId="2969">
      <formula>Y36&gt;0</formula>
    </cfRule>
  </conditionalFormatting>
  <conditionalFormatting sqref="Y38">
    <cfRule type="cellIs" priority="1947" operator="equal" aboveAverage="0" equalAverage="0" bottom="0" percent="0" rank="0" text="" dxfId="2970">
      <formula>"В"</formula>
    </cfRule>
  </conditionalFormatting>
  <conditionalFormatting sqref="Y38">
    <cfRule type="cellIs" priority="1948" operator="greaterThan" aboveAverage="0" equalAverage="0" bottom="0" percent="0" rank="0" text="" dxfId="2971">
      <formula>0</formula>
    </cfRule>
    <cfRule type="expression" priority="1949" aboveAverage="0" equalAverage="0" bottom="0" percent="0" rank="0" text="" dxfId="2972">
      <formula>Y37&gt;0</formula>
    </cfRule>
  </conditionalFormatting>
  <conditionalFormatting sqref="Y39">
    <cfRule type="cellIs" priority="1950" operator="equal" aboveAverage="0" equalAverage="0" bottom="0" percent="0" rank="0" text="" dxfId="2973">
      <formula>"В"</formula>
    </cfRule>
  </conditionalFormatting>
  <conditionalFormatting sqref="Y39">
    <cfRule type="cellIs" priority="1951" operator="greaterThan" aboveAverage="0" equalAverage="0" bottom="0" percent="0" rank="0" text="" dxfId="2974">
      <formula>0</formula>
    </cfRule>
    <cfRule type="expression" priority="1952" aboveAverage="0" equalAverage="0" bottom="0" percent="0" rank="0" text="" dxfId="2975">
      <formula>Y38&gt;0</formula>
    </cfRule>
  </conditionalFormatting>
  <conditionalFormatting sqref="Y40">
    <cfRule type="cellIs" priority="1953" operator="equal" aboveAverage="0" equalAverage="0" bottom="0" percent="0" rank="0" text="" dxfId="2976">
      <formula>"В"</formula>
    </cfRule>
  </conditionalFormatting>
  <conditionalFormatting sqref="Y40">
    <cfRule type="cellIs" priority="1954" operator="greaterThan" aboveAverage="0" equalAverage="0" bottom="0" percent="0" rank="0" text="" dxfId="2977">
      <formula>0</formula>
    </cfRule>
    <cfRule type="expression" priority="1955" aboveAverage="0" equalAverage="0" bottom="0" percent="0" rank="0" text="" dxfId="2978">
      <formula>Y39&gt;0</formula>
    </cfRule>
  </conditionalFormatting>
  <conditionalFormatting sqref="Y41">
    <cfRule type="cellIs" priority="1956" operator="equal" aboveAverage="0" equalAverage="0" bottom="0" percent="0" rank="0" text="" dxfId="2979">
      <formula>"В"</formula>
    </cfRule>
  </conditionalFormatting>
  <conditionalFormatting sqref="Y41">
    <cfRule type="cellIs" priority="1957" operator="greaterThan" aboveAverage="0" equalAverage="0" bottom="0" percent="0" rank="0" text="" dxfId="2980">
      <formula>0</formula>
    </cfRule>
    <cfRule type="expression" priority="1958" aboveAverage="0" equalAverage="0" bottom="0" percent="0" rank="0" text="" dxfId="2981">
      <formula>Y40&gt;0</formula>
    </cfRule>
  </conditionalFormatting>
  <conditionalFormatting sqref="Y42">
    <cfRule type="cellIs" priority="1959" operator="equal" aboveAverage="0" equalAverage="0" bottom="0" percent="0" rank="0" text="" dxfId="2982">
      <formula>"В"</formula>
    </cfRule>
  </conditionalFormatting>
  <conditionalFormatting sqref="Y42">
    <cfRule type="cellIs" priority="1960" operator="greaterThan" aboveAverage="0" equalAverage="0" bottom="0" percent="0" rank="0" text="" dxfId="2983">
      <formula>0</formula>
    </cfRule>
    <cfRule type="expression" priority="1961" aboveAverage="0" equalAverage="0" bottom="0" percent="0" rank="0" text="" dxfId="2984">
      <formula>Y41&gt;0</formula>
    </cfRule>
  </conditionalFormatting>
  <conditionalFormatting sqref="Y43">
    <cfRule type="cellIs" priority="1962" operator="equal" aboveAverage="0" equalAverage="0" bottom="0" percent="0" rank="0" text="" dxfId="2985">
      <formula>"В"</formula>
    </cfRule>
  </conditionalFormatting>
  <conditionalFormatting sqref="Y43">
    <cfRule type="cellIs" priority="1963" operator="greaterThan" aboveAverage="0" equalAverage="0" bottom="0" percent="0" rank="0" text="" dxfId="2986">
      <formula>0</formula>
    </cfRule>
    <cfRule type="expression" priority="1964" aboveAverage="0" equalAverage="0" bottom="0" percent="0" rank="0" text="" dxfId="2987">
      <formula>Y42&gt;0</formula>
    </cfRule>
  </conditionalFormatting>
  <conditionalFormatting sqref="Y44">
    <cfRule type="cellIs" priority="1965" operator="equal" aboveAverage="0" equalAverage="0" bottom="0" percent="0" rank="0" text="" dxfId="2988">
      <formula>"В"</formula>
    </cfRule>
  </conditionalFormatting>
  <conditionalFormatting sqref="Y44">
    <cfRule type="cellIs" priority="1966" operator="greaterThan" aboveAverage="0" equalAverage="0" bottom="0" percent="0" rank="0" text="" dxfId="2989">
      <formula>0</formula>
    </cfRule>
    <cfRule type="expression" priority="1967" aboveAverage="0" equalAverage="0" bottom="0" percent="0" rank="0" text="" dxfId="2990">
      <formula>Y43&gt;0</formula>
    </cfRule>
  </conditionalFormatting>
  <conditionalFormatting sqref="Y45">
    <cfRule type="cellIs" priority="1968" operator="equal" aboveAverage="0" equalAverage="0" bottom="0" percent="0" rank="0" text="" dxfId="2991">
      <formula>"В"</formula>
    </cfRule>
  </conditionalFormatting>
  <conditionalFormatting sqref="Y45">
    <cfRule type="cellIs" priority="1969" operator="greaterThan" aboveAverage="0" equalAverage="0" bottom="0" percent="0" rank="0" text="" dxfId="2992">
      <formula>0</formula>
    </cfRule>
    <cfRule type="expression" priority="1970" aboveAverage="0" equalAverage="0" bottom="0" percent="0" rank="0" text="" dxfId="2993">
      <formula>Y44&gt;0</formula>
    </cfRule>
  </conditionalFormatting>
  <conditionalFormatting sqref="Y46">
    <cfRule type="cellIs" priority="1971" operator="equal" aboveAverage="0" equalAverage="0" bottom="0" percent="0" rank="0" text="" dxfId="2994">
      <formula>"В"</formula>
    </cfRule>
  </conditionalFormatting>
  <conditionalFormatting sqref="Y46">
    <cfRule type="cellIs" priority="1972" operator="greaterThan" aboveAverage="0" equalAverage="0" bottom="0" percent="0" rank="0" text="" dxfId="2995">
      <formula>0</formula>
    </cfRule>
    <cfRule type="expression" priority="1973" aboveAverage="0" equalAverage="0" bottom="0" percent="0" rank="0" text="" dxfId="2996">
      <formula>Y45&gt;0</formula>
    </cfRule>
  </conditionalFormatting>
  <conditionalFormatting sqref="Y47">
    <cfRule type="cellIs" priority="1974" operator="equal" aboveAverage="0" equalAverage="0" bottom="0" percent="0" rank="0" text="" dxfId="2997">
      <formula>"В"</formula>
    </cfRule>
  </conditionalFormatting>
  <conditionalFormatting sqref="Y47">
    <cfRule type="cellIs" priority="1975" operator="greaterThan" aboveAverage="0" equalAverage="0" bottom="0" percent="0" rank="0" text="" dxfId="2998">
      <formula>0</formula>
    </cfRule>
    <cfRule type="expression" priority="1976" aboveAverage="0" equalAverage="0" bottom="0" percent="0" rank="0" text="" dxfId="2999">
      <formula>Y46&gt;0</formula>
    </cfRule>
  </conditionalFormatting>
  <conditionalFormatting sqref="Y48">
    <cfRule type="cellIs" priority="1977" operator="equal" aboveAverage="0" equalAverage="0" bottom="0" percent="0" rank="0" text="" dxfId="3000">
      <formula>"В"</formula>
    </cfRule>
  </conditionalFormatting>
  <conditionalFormatting sqref="Y48">
    <cfRule type="cellIs" priority="1978" operator="greaterThan" aboveAverage="0" equalAverage="0" bottom="0" percent="0" rank="0" text="" dxfId="3001">
      <formula>0</formula>
    </cfRule>
    <cfRule type="expression" priority="1979" aboveAverage="0" equalAverage="0" bottom="0" percent="0" rank="0" text="" dxfId="3002">
      <formula>Y47&gt;0</formula>
    </cfRule>
  </conditionalFormatting>
  <conditionalFormatting sqref="Y49">
    <cfRule type="cellIs" priority="1980" operator="equal" aboveAverage="0" equalAverage="0" bottom="0" percent="0" rank="0" text="" dxfId="3003">
      <formula>"В"</formula>
    </cfRule>
  </conditionalFormatting>
  <conditionalFormatting sqref="Y49">
    <cfRule type="cellIs" priority="1981" operator="greaterThan" aboveAverage="0" equalAverage="0" bottom="0" percent="0" rank="0" text="" dxfId="3004">
      <formula>0</formula>
    </cfRule>
    <cfRule type="expression" priority="1982" aboveAverage="0" equalAverage="0" bottom="0" percent="0" rank="0" text="" dxfId="3005">
      <formula>Y48&gt;0</formula>
    </cfRule>
  </conditionalFormatting>
  <conditionalFormatting sqref="Z22">
    <cfRule type="cellIs" priority="1983" operator="equal" aboveAverage="0" equalAverage="0" bottom="0" percent="0" rank="0" text="" dxfId="3006">
      <formula>"В"</formula>
    </cfRule>
  </conditionalFormatting>
  <conditionalFormatting sqref="Z22">
    <cfRule type="cellIs" priority="1984" operator="greaterThan" aboveAverage="0" equalAverage="0" bottom="0" percent="0" rank="0" text="" dxfId="3007">
      <formula>0</formula>
    </cfRule>
    <cfRule type="expression" priority="1985" aboveAverage="0" equalAverage="0" bottom="0" percent="0" rank="0" text="" dxfId="3008">
      <formula>Z21&gt;0</formula>
    </cfRule>
  </conditionalFormatting>
  <conditionalFormatting sqref="Z23">
    <cfRule type="cellIs" priority="1986" operator="equal" aboveAverage="0" equalAverage="0" bottom="0" percent="0" rank="0" text="" dxfId="3009">
      <formula>"В"</formula>
    </cfRule>
  </conditionalFormatting>
  <conditionalFormatting sqref="Z23">
    <cfRule type="cellIs" priority="1987" operator="greaterThan" aboveAverage="0" equalAverage="0" bottom="0" percent="0" rank="0" text="" dxfId="3010">
      <formula>0</formula>
    </cfRule>
    <cfRule type="expression" priority="1988" aboveAverage="0" equalAverage="0" bottom="0" percent="0" rank="0" text="" dxfId="3011">
      <formula>Z22&gt;0</formula>
    </cfRule>
  </conditionalFormatting>
  <conditionalFormatting sqref="Z24">
    <cfRule type="cellIs" priority="1989" operator="equal" aboveAverage="0" equalAverage="0" bottom="0" percent="0" rank="0" text="" dxfId="3012">
      <formula>"В"</formula>
    </cfRule>
  </conditionalFormatting>
  <conditionalFormatting sqref="Z24">
    <cfRule type="cellIs" priority="1990" operator="greaterThan" aboveAverage="0" equalAverage="0" bottom="0" percent="0" rank="0" text="" dxfId="3013">
      <formula>0</formula>
    </cfRule>
    <cfRule type="expression" priority="1991" aboveAverage="0" equalAverage="0" bottom="0" percent="0" rank="0" text="" dxfId="3014">
      <formula>Z23&gt;0</formula>
    </cfRule>
  </conditionalFormatting>
  <conditionalFormatting sqref="Z25">
    <cfRule type="cellIs" priority="1992" operator="equal" aboveAverage="0" equalAverage="0" bottom="0" percent="0" rank="0" text="" dxfId="3015">
      <formula>"В"</formula>
    </cfRule>
  </conditionalFormatting>
  <conditionalFormatting sqref="Z25">
    <cfRule type="cellIs" priority="1993" operator="greaterThan" aboveAverage="0" equalAverage="0" bottom="0" percent="0" rank="0" text="" dxfId="3016">
      <formula>0</formula>
    </cfRule>
    <cfRule type="expression" priority="1994" aboveAverage="0" equalAverage="0" bottom="0" percent="0" rank="0" text="" dxfId="3017">
      <formula>Z24&gt;0</formula>
    </cfRule>
  </conditionalFormatting>
  <conditionalFormatting sqref="Z26">
    <cfRule type="cellIs" priority="1995" operator="equal" aboveAverage="0" equalAverage="0" bottom="0" percent="0" rank="0" text="" dxfId="3018">
      <formula>"В"</formula>
    </cfRule>
  </conditionalFormatting>
  <conditionalFormatting sqref="Z26">
    <cfRule type="cellIs" priority="1996" operator="greaterThan" aboveAverage="0" equalAverage="0" bottom="0" percent="0" rank="0" text="" dxfId="3019">
      <formula>0</formula>
    </cfRule>
    <cfRule type="expression" priority="1997" aboveAverage="0" equalAverage="0" bottom="0" percent="0" rank="0" text="" dxfId="3020">
      <formula>Z25&gt;0</formula>
    </cfRule>
  </conditionalFormatting>
  <conditionalFormatting sqref="Z27">
    <cfRule type="cellIs" priority="1998" operator="equal" aboveAverage="0" equalAverage="0" bottom="0" percent="0" rank="0" text="" dxfId="3021">
      <formula>"В"</formula>
    </cfRule>
  </conditionalFormatting>
  <conditionalFormatting sqref="Z27">
    <cfRule type="cellIs" priority="1999" operator="greaterThan" aboveAverage="0" equalAverage="0" bottom="0" percent="0" rank="0" text="" dxfId="3022">
      <formula>0</formula>
    </cfRule>
    <cfRule type="expression" priority="2000" aboveAverage="0" equalAverage="0" bottom="0" percent="0" rank="0" text="" dxfId="3023">
      <formula>Z26&gt;0</formula>
    </cfRule>
  </conditionalFormatting>
  <conditionalFormatting sqref="Z28">
    <cfRule type="cellIs" priority="2001" operator="equal" aboveAverage="0" equalAverage="0" bottom="0" percent="0" rank="0" text="" dxfId="3024">
      <formula>"В"</formula>
    </cfRule>
  </conditionalFormatting>
  <conditionalFormatting sqref="Z28">
    <cfRule type="cellIs" priority="2002" operator="greaterThan" aboveAverage="0" equalAverage="0" bottom="0" percent="0" rank="0" text="" dxfId="3025">
      <formula>0</formula>
    </cfRule>
    <cfRule type="expression" priority="2003" aboveAverage="0" equalAverage="0" bottom="0" percent="0" rank="0" text="" dxfId="3026">
      <formula>Z27&gt;0</formula>
    </cfRule>
  </conditionalFormatting>
  <conditionalFormatting sqref="Z29">
    <cfRule type="cellIs" priority="2004" operator="equal" aboveAverage="0" equalAverage="0" bottom="0" percent="0" rank="0" text="" dxfId="3027">
      <formula>"В"</formula>
    </cfRule>
  </conditionalFormatting>
  <conditionalFormatting sqref="Z29">
    <cfRule type="cellIs" priority="2005" operator="greaterThan" aboveAverage="0" equalAverage="0" bottom="0" percent="0" rank="0" text="" dxfId="3028">
      <formula>0</formula>
    </cfRule>
    <cfRule type="expression" priority="2006" aboveAverage="0" equalAverage="0" bottom="0" percent="0" rank="0" text="" dxfId="3029">
      <formula>Z28&gt;0</formula>
    </cfRule>
  </conditionalFormatting>
  <conditionalFormatting sqref="Z30">
    <cfRule type="cellIs" priority="2007" operator="equal" aboveAverage="0" equalAverage="0" bottom="0" percent="0" rank="0" text="" dxfId="3030">
      <formula>"В"</formula>
    </cfRule>
  </conditionalFormatting>
  <conditionalFormatting sqref="Z30">
    <cfRule type="cellIs" priority="2008" operator="greaterThan" aboveAverage="0" equalAverage="0" bottom="0" percent="0" rank="0" text="" dxfId="3031">
      <formula>0</formula>
    </cfRule>
    <cfRule type="expression" priority="2009" aboveAverage="0" equalAverage="0" bottom="0" percent="0" rank="0" text="" dxfId="3032">
      <formula>Z29&gt;0</formula>
    </cfRule>
  </conditionalFormatting>
  <conditionalFormatting sqref="Z31">
    <cfRule type="cellIs" priority="2010" operator="equal" aboveAverage="0" equalAverage="0" bottom="0" percent="0" rank="0" text="" dxfId="3033">
      <formula>"В"</formula>
    </cfRule>
  </conditionalFormatting>
  <conditionalFormatting sqref="Z31">
    <cfRule type="cellIs" priority="2011" operator="greaterThan" aboveAverage="0" equalAverage="0" bottom="0" percent="0" rank="0" text="" dxfId="3034">
      <formula>0</formula>
    </cfRule>
    <cfRule type="expression" priority="2012" aboveAverage="0" equalAverage="0" bottom="0" percent="0" rank="0" text="" dxfId="3035">
      <formula>Z30&gt;0</formula>
    </cfRule>
  </conditionalFormatting>
  <conditionalFormatting sqref="Z32">
    <cfRule type="cellIs" priority="2013" operator="equal" aboveAverage="0" equalAverage="0" bottom="0" percent="0" rank="0" text="" dxfId="3036">
      <formula>"В"</formula>
    </cfRule>
  </conditionalFormatting>
  <conditionalFormatting sqref="Z32">
    <cfRule type="cellIs" priority="2014" operator="greaterThan" aboveAverage="0" equalAverage="0" bottom="0" percent="0" rank="0" text="" dxfId="3037">
      <formula>0</formula>
    </cfRule>
    <cfRule type="expression" priority="2015" aboveAverage="0" equalAverage="0" bottom="0" percent="0" rank="0" text="" dxfId="3038">
      <formula>Z31&gt;0</formula>
    </cfRule>
  </conditionalFormatting>
  <conditionalFormatting sqref="Z33">
    <cfRule type="cellIs" priority="2016" operator="equal" aboveAverage="0" equalAverage="0" bottom="0" percent="0" rank="0" text="" dxfId="3039">
      <formula>"В"</formula>
    </cfRule>
  </conditionalFormatting>
  <conditionalFormatting sqref="Z33">
    <cfRule type="cellIs" priority="2017" operator="greaterThan" aboveAverage="0" equalAverage="0" bottom="0" percent="0" rank="0" text="" dxfId="3040">
      <formula>0</formula>
    </cfRule>
    <cfRule type="expression" priority="2018" aboveAverage="0" equalAverage="0" bottom="0" percent="0" rank="0" text="" dxfId="3041">
      <formula>Z32&gt;0</formula>
    </cfRule>
  </conditionalFormatting>
  <conditionalFormatting sqref="Z34">
    <cfRule type="cellIs" priority="2019" operator="equal" aboveAverage="0" equalAverage="0" bottom="0" percent="0" rank="0" text="" dxfId="3042">
      <formula>"В"</formula>
    </cfRule>
  </conditionalFormatting>
  <conditionalFormatting sqref="Z34">
    <cfRule type="cellIs" priority="2020" operator="greaterThan" aboveAverage="0" equalAverage="0" bottom="0" percent="0" rank="0" text="" dxfId="3043">
      <formula>0</formula>
    </cfRule>
    <cfRule type="expression" priority="2021" aboveAverage="0" equalAverage="0" bottom="0" percent="0" rank="0" text="" dxfId="3044">
      <formula>Z33&gt;0</formula>
    </cfRule>
  </conditionalFormatting>
  <conditionalFormatting sqref="Z35">
    <cfRule type="cellIs" priority="2022" operator="equal" aboveAverage="0" equalAverage="0" bottom="0" percent="0" rank="0" text="" dxfId="3045">
      <formula>"В"</formula>
    </cfRule>
  </conditionalFormatting>
  <conditionalFormatting sqref="Z35">
    <cfRule type="cellIs" priority="2023" operator="greaterThan" aboveAverage="0" equalAverage="0" bottom="0" percent="0" rank="0" text="" dxfId="3046">
      <formula>0</formula>
    </cfRule>
    <cfRule type="expression" priority="2024" aboveAverage="0" equalAverage="0" bottom="0" percent="0" rank="0" text="" dxfId="3047">
      <formula>Z34&gt;0</formula>
    </cfRule>
  </conditionalFormatting>
  <conditionalFormatting sqref="Z36">
    <cfRule type="cellIs" priority="2025" operator="equal" aboveAverage="0" equalAverage="0" bottom="0" percent="0" rank="0" text="" dxfId="3048">
      <formula>"В"</formula>
    </cfRule>
  </conditionalFormatting>
  <conditionalFormatting sqref="Z36">
    <cfRule type="cellIs" priority="2026" operator="greaterThan" aboveAverage="0" equalAverage="0" bottom="0" percent="0" rank="0" text="" dxfId="3049">
      <formula>0</formula>
    </cfRule>
    <cfRule type="expression" priority="2027" aboveAverage="0" equalAverage="0" bottom="0" percent="0" rank="0" text="" dxfId="3050">
      <formula>Z35&gt;0</formula>
    </cfRule>
  </conditionalFormatting>
  <conditionalFormatting sqref="Z37">
    <cfRule type="cellIs" priority="2028" operator="equal" aboveAverage="0" equalAverage="0" bottom="0" percent="0" rank="0" text="" dxfId="3051">
      <formula>"В"</formula>
    </cfRule>
  </conditionalFormatting>
  <conditionalFormatting sqref="Z37">
    <cfRule type="cellIs" priority="2029" operator="greaterThan" aboveAverage="0" equalAverage="0" bottom="0" percent="0" rank="0" text="" dxfId="3052">
      <formula>0</formula>
    </cfRule>
    <cfRule type="expression" priority="2030" aboveAverage="0" equalAverage="0" bottom="0" percent="0" rank="0" text="" dxfId="3053">
      <formula>Z36&gt;0</formula>
    </cfRule>
  </conditionalFormatting>
  <conditionalFormatting sqref="Z38">
    <cfRule type="cellIs" priority="2031" operator="equal" aboveAverage="0" equalAverage="0" bottom="0" percent="0" rank="0" text="" dxfId="3054">
      <formula>"В"</formula>
    </cfRule>
  </conditionalFormatting>
  <conditionalFormatting sqref="Z38">
    <cfRule type="cellIs" priority="2032" operator="greaterThan" aboveAverage="0" equalAverage="0" bottom="0" percent="0" rank="0" text="" dxfId="3055">
      <formula>0</formula>
    </cfRule>
    <cfRule type="expression" priority="2033" aboveAverage="0" equalAverage="0" bottom="0" percent="0" rank="0" text="" dxfId="3056">
      <formula>Z37&gt;0</formula>
    </cfRule>
  </conditionalFormatting>
  <conditionalFormatting sqref="Z39">
    <cfRule type="cellIs" priority="2034" operator="equal" aboveAverage="0" equalAverage="0" bottom="0" percent="0" rank="0" text="" dxfId="3057">
      <formula>"В"</formula>
    </cfRule>
  </conditionalFormatting>
  <conditionalFormatting sqref="Z39">
    <cfRule type="cellIs" priority="2035" operator="greaterThan" aboveAverage="0" equalAverage="0" bottom="0" percent="0" rank="0" text="" dxfId="3058">
      <formula>0</formula>
    </cfRule>
    <cfRule type="expression" priority="2036" aboveAverage="0" equalAverage="0" bottom="0" percent="0" rank="0" text="" dxfId="3059">
      <formula>Z38&gt;0</formula>
    </cfRule>
  </conditionalFormatting>
  <conditionalFormatting sqref="Z40">
    <cfRule type="cellIs" priority="2037" operator="equal" aboveAverage="0" equalAverage="0" bottom="0" percent="0" rank="0" text="" dxfId="3060">
      <formula>"В"</formula>
    </cfRule>
  </conditionalFormatting>
  <conditionalFormatting sqref="Z40">
    <cfRule type="cellIs" priority="2038" operator="greaterThan" aboveAverage="0" equalAverage="0" bottom="0" percent="0" rank="0" text="" dxfId="3061">
      <formula>0</formula>
    </cfRule>
    <cfRule type="expression" priority="2039" aboveAverage="0" equalAverage="0" bottom="0" percent="0" rank="0" text="" dxfId="3062">
      <formula>Z39&gt;0</formula>
    </cfRule>
  </conditionalFormatting>
  <conditionalFormatting sqref="Z41">
    <cfRule type="cellIs" priority="2040" operator="equal" aboveAverage="0" equalAverage="0" bottom="0" percent="0" rank="0" text="" dxfId="3063">
      <formula>"В"</formula>
    </cfRule>
  </conditionalFormatting>
  <conditionalFormatting sqref="Z41">
    <cfRule type="cellIs" priority="2041" operator="greaterThan" aboveAverage="0" equalAverage="0" bottom="0" percent="0" rank="0" text="" dxfId="3064">
      <formula>0</formula>
    </cfRule>
    <cfRule type="expression" priority="2042" aboveAverage="0" equalAverage="0" bottom="0" percent="0" rank="0" text="" dxfId="3065">
      <formula>Z40&gt;0</formula>
    </cfRule>
  </conditionalFormatting>
  <conditionalFormatting sqref="Z42">
    <cfRule type="cellIs" priority="2043" operator="equal" aboveAverage="0" equalAverage="0" bottom="0" percent="0" rank="0" text="" dxfId="3066">
      <formula>"В"</formula>
    </cfRule>
  </conditionalFormatting>
  <conditionalFormatting sqref="Z42">
    <cfRule type="cellIs" priority="2044" operator="greaterThan" aboveAverage="0" equalAverage="0" bottom="0" percent="0" rank="0" text="" dxfId="3067">
      <formula>0</formula>
    </cfRule>
    <cfRule type="expression" priority="2045" aboveAverage="0" equalAverage="0" bottom="0" percent="0" rank="0" text="" dxfId="3068">
      <formula>Z41&gt;0</formula>
    </cfRule>
  </conditionalFormatting>
  <conditionalFormatting sqref="Z43">
    <cfRule type="cellIs" priority="2046" operator="equal" aboveAverage="0" equalAverage="0" bottom="0" percent="0" rank="0" text="" dxfId="3069">
      <formula>"В"</formula>
    </cfRule>
  </conditionalFormatting>
  <conditionalFormatting sqref="Z43">
    <cfRule type="cellIs" priority="2047" operator="greaterThan" aboveAverage="0" equalAverage="0" bottom="0" percent="0" rank="0" text="" dxfId="3070">
      <formula>0</formula>
    </cfRule>
    <cfRule type="expression" priority="2048" aboveAverage="0" equalAverage="0" bottom="0" percent="0" rank="0" text="" dxfId="3071">
      <formula>Z42&gt;0</formula>
    </cfRule>
  </conditionalFormatting>
  <conditionalFormatting sqref="Z44">
    <cfRule type="cellIs" priority="2049" operator="equal" aboveAverage="0" equalAverage="0" bottom="0" percent="0" rank="0" text="" dxfId="3072">
      <formula>"В"</formula>
    </cfRule>
  </conditionalFormatting>
  <conditionalFormatting sqref="Z44">
    <cfRule type="cellIs" priority="2050" operator="greaterThan" aboveAverage="0" equalAverage="0" bottom="0" percent="0" rank="0" text="" dxfId="3073">
      <formula>0</formula>
    </cfRule>
    <cfRule type="expression" priority="2051" aboveAverage="0" equalAverage="0" bottom="0" percent="0" rank="0" text="" dxfId="3074">
      <formula>Z43&gt;0</formula>
    </cfRule>
  </conditionalFormatting>
  <conditionalFormatting sqref="Z45">
    <cfRule type="cellIs" priority="2052" operator="equal" aboveAverage="0" equalAverage="0" bottom="0" percent="0" rank="0" text="" dxfId="3075">
      <formula>"В"</formula>
    </cfRule>
  </conditionalFormatting>
  <conditionalFormatting sqref="Z45">
    <cfRule type="cellIs" priority="2053" operator="greaterThan" aboveAverage="0" equalAverage="0" bottom="0" percent="0" rank="0" text="" dxfId="3076">
      <formula>0</formula>
    </cfRule>
    <cfRule type="expression" priority="2054" aboveAverage="0" equalAverage="0" bottom="0" percent="0" rank="0" text="" dxfId="3077">
      <formula>Z44&gt;0</formula>
    </cfRule>
  </conditionalFormatting>
  <conditionalFormatting sqref="Z46">
    <cfRule type="cellIs" priority="2055" operator="equal" aboveAverage="0" equalAverage="0" bottom="0" percent="0" rank="0" text="" dxfId="3078">
      <formula>"В"</formula>
    </cfRule>
  </conditionalFormatting>
  <conditionalFormatting sqref="Z46">
    <cfRule type="cellIs" priority="2056" operator="greaterThan" aboveAverage="0" equalAverage="0" bottom="0" percent="0" rank="0" text="" dxfId="3079">
      <formula>0</formula>
    </cfRule>
    <cfRule type="expression" priority="2057" aboveAverage="0" equalAverage="0" bottom="0" percent="0" rank="0" text="" dxfId="3080">
      <formula>Z45&gt;0</formula>
    </cfRule>
  </conditionalFormatting>
  <conditionalFormatting sqref="Z47">
    <cfRule type="cellIs" priority="2058" operator="equal" aboveAverage="0" equalAverage="0" bottom="0" percent="0" rank="0" text="" dxfId="3081">
      <formula>"В"</formula>
    </cfRule>
  </conditionalFormatting>
  <conditionalFormatting sqref="Z47">
    <cfRule type="cellIs" priority="2059" operator="greaterThan" aboveAverage="0" equalAverage="0" bottom="0" percent="0" rank="0" text="" dxfId="3082">
      <formula>0</formula>
    </cfRule>
    <cfRule type="expression" priority="2060" aboveAverage="0" equalAverage="0" bottom="0" percent="0" rank="0" text="" dxfId="3083">
      <formula>Z46&gt;0</formula>
    </cfRule>
  </conditionalFormatting>
  <conditionalFormatting sqref="Z48">
    <cfRule type="cellIs" priority="2061" operator="equal" aboveAverage="0" equalAverage="0" bottom="0" percent="0" rank="0" text="" dxfId="3084">
      <formula>"В"</formula>
    </cfRule>
  </conditionalFormatting>
  <conditionalFormatting sqref="Z48">
    <cfRule type="cellIs" priority="2062" operator="greaterThan" aboveAverage="0" equalAverage="0" bottom="0" percent="0" rank="0" text="" dxfId="3085">
      <formula>0</formula>
    </cfRule>
    <cfRule type="expression" priority="2063" aboveAverage="0" equalAverage="0" bottom="0" percent="0" rank="0" text="" dxfId="3086">
      <formula>Z47&gt;0</formula>
    </cfRule>
  </conditionalFormatting>
  <conditionalFormatting sqref="Z49">
    <cfRule type="cellIs" priority="2064" operator="equal" aboveAverage="0" equalAverage="0" bottom="0" percent="0" rank="0" text="" dxfId="3087">
      <formula>"В"</formula>
    </cfRule>
  </conditionalFormatting>
  <conditionalFormatting sqref="Z49">
    <cfRule type="cellIs" priority="2065" operator="greaterThan" aboveAverage="0" equalAverage="0" bottom="0" percent="0" rank="0" text="" dxfId="3088">
      <formula>0</formula>
    </cfRule>
    <cfRule type="expression" priority="2066" aboveAverage="0" equalAverage="0" bottom="0" percent="0" rank="0" text="" dxfId="3089">
      <formula>Z48&gt;0</formula>
    </cfRule>
  </conditionalFormatting>
  <conditionalFormatting sqref="AA22">
    <cfRule type="cellIs" priority="2067" operator="equal" aboveAverage="0" equalAverage="0" bottom="0" percent="0" rank="0" text="" dxfId="3090">
      <formula>"В"</formula>
    </cfRule>
  </conditionalFormatting>
  <conditionalFormatting sqref="AA22">
    <cfRule type="cellIs" priority="2068" operator="greaterThan" aboveAverage="0" equalAverage="0" bottom="0" percent="0" rank="0" text="" dxfId="3091">
      <formula>0</formula>
    </cfRule>
    <cfRule type="expression" priority="2069" aboveAverage="0" equalAverage="0" bottom="0" percent="0" rank="0" text="" dxfId="3092">
      <formula>AA21&gt;0</formula>
    </cfRule>
  </conditionalFormatting>
  <conditionalFormatting sqref="AA23">
    <cfRule type="cellIs" priority="2070" operator="equal" aboveAverage="0" equalAverage="0" bottom="0" percent="0" rank="0" text="" dxfId="3093">
      <formula>"В"</formula>
    </cfRule>
  </conditionalFormatting>
  <conditionalFormatting sqref="AA23">
    <cfRule type="cellIs" priority="2071" operator="greaterThan" aboveAverage="0" equalAverage="0" bottom="0" percent="0" rank="0" text="" dxfId="3094">
      <formula>0</formula>
    </cfRule>
    <cfRule type="expression" priority="2072" aboveAverage="0" equalAverage="0" bottom="0" percent="0" rank="0" text="" dxfId="3095">
      <formula>AA22&gt;0</formula>
    </cfRule>
  </conditionalFormatting>
  <conditionalFormatting sqref="AA24">
    <cfRule type="cellIs" priority="2073" operator="equal" aboveAverage="0" equalAverage="0" bottom="0" percent="0" rank="0" text="" dxfId="3096">
      <formula>"В"</formula>
    </cfRule>
  </conditionalFormatting>
  <conditionalFormatting sqref="AA24">
    <cfRule type="cellIs" priority="2074" operator="greaterThan" aboveAverage="0" equalAverage="0" bottom="0" percent="0" rank="0" text="" dxfId="3097">
      <formula>0</formula>
    </cfRule>
    <cfRule type="expression" priority="2075" aboveAverage="0" equalAverage="0" bottom="0" percent="0" rank="0" text="" dxfId="3098">
      <formula>AA23&gt;0</formula>
    </cfRule>
  </conditionalFormatting>
  <conditionalFormatting sqref="AA25">
    <cfRule type="cellIs" priority="2076" operator="equal" aboveAverage="0" equalAverage="0" bottom="0" percent="0" rank="0" text="" dxfId="3099">
      <formula>"В"</formula>
    </cfRule>
  </conditionalFormatting>
  <conditionalFormatting sqref="AA25">
    <cfRule type="cellIs" priority="2077" operator="greaterThan" aboveAverage="0" equalAverage="0" bottom="0" percent="0" rank="0" text="" dxfId="3100">
      <formula>0</formula>
    </cfRule>
    <cfRule type="expression" priority="2078" aboveAverage="0" equalAverage="0" bottom="0" percent="0" rank="0" text="" dxfId="3101">
      <formula>AA24&gt;0</formula>
    </cfRule>
  </conditionalFormatting>
  <conditionalFormatting sqref="AA26">
    <cfRule type="cellIs" priority="2079" operator="equal" aboveAverage="0" equalAverage="0" bottom="0" percent="0" rank="0" text="" dxfId="3102">
      <formula>"В"</formula>
    </cfRule>
  </conditionalFormatting>
  <conditionalFormatting sqref="AA26">
    <cfRule type="cellIs" priority="2080" operator="greaterThan" aboveAverage="0" equalAverage="0" bottom="0" percent="0" rank="0" text="" dxfId="3103">
      <formula>0</formula>
    </cfRule>
    <cfRule type="expression" priority="2081" aboveAverage="0" equalAverage="0" bottom="0" percent="0" rank="0" text="" dxfId="3104">
      <formula>AA25&gt;0</formula>
    </cfRule>
  </conditionalFormatting>
  <conditionalFormatting sqref="AA27">
    <cfRule type="cellIs" priority="2082" operator="equal" aboveAverage="0" equalAverage="0" bottom="0" percent="0" rank="0" text="" dxfId="3105">
      <formula>"В"</formula>
    </cfRule>
  </conditionalFormatting>
  <conditionalFormatting sqref="AA27">
    <cfRule type="cellIs" priority="2083" operator="greaterThan" aboveAverage="0" equalAverage="0" bottom="0" percent="0" rank="0" text="" dxfId="3106">
      <formula>0</formula>
    </cfRule>
    <cfRule type="expression" priority="2084" aboveAverage="0" equalAverage="0" bottom="0" percent="0" rank="0" text="" dxfId="3107">
      <formula>AA26&gt;0</formula>
    </cfRule>
  </conditionalFormatting>
  <conditionalFormatting sqref="AA28">
    <cfRule type="cellIs" priority="2085" operator="equal" aboveAverage="0" equalAverage="0" bottom="0" percent="0" rank="0" text="" dxfId="3108">
      <formula>"В"</formula>
    </cfRule>
  </conditionalFormatting>
  <conditionalFormatting sqref="AA28">
    <cfRule type="cellIs" priority="2086" operator="greaterThan" aboveAverage="0" equalAverage="0" bottom="0" percent="0" rank="0" text="" dxfId="3109">
      <formula>0</formula>
    </cfRule>
    <cfRule type="expression" priority="2087" aboveAverage="0" equalAverage="0" bottom="0" percent="0" rank="0" text="" dxfId="3110">
      <formula>AA27&gt;0</formula>
    </cfRule>
  </conditionalFormatting>
  <conditionalFormatting sqref="AA29">
    <cfRule type="cellIs" priority="2088" operator="equal" aboveAverage="0" equalAverage="0" bottom="0" percent="0" rank="0" text="" dxfId="3111">
      <formula>"В"</formula>
    </cfRule>
  </conditionalFormatting>
  <conditionalFormatting sqref="AA29">
    <cfRule type="cellIs" priority="2089" operator="greaterThan" aboveAverage="0" equalAverage="0" bottom="0" percent="0" rank="0" text="" dxfId="3112">
      <formula>0</formula>
    </cfRule>
    <cfRule type="expression" priority="2090" aboveAverage="0" equalAverage="0" bottom="0" percent="0" rank="0" text="" dxfId="3113">
      <formula>AA28&gt;0</formula>
    </cfRule>
  </conditionalFormatting>
  <conditionalFormatting sqref="AA30">
    <cfRule type="cellIs" priority="2091" operator="equal" aboveAverage="0" equalAverage="0" bottom="0" percent="0" rank="0" text="" dxfId="3114">
      <formula>"В"</formula>
    </cfRule>
  </conditionalFormatting>
  <conditionalFormatting sqref="AA30">
    <cfRule type="cellIs" priority="2092" operator="greaterThan" aboveAverage="0" equalAverage="0" bottom="0" percent="0" rank="0" text="" dxfId="3115">
      <formula>0</formula>
    </cfRule>
    <cfRule type="expression" priority="2093" aboveAverage="0" equalAverage="0" bottom="0" percent="0" rank="0" text="" dxfId="3116">
      <formula>AA29&gt;0</formula>
    </cfRule>
  </conditionalFormatting>
  <conditionalFormatting sqref="AA31">
    <cfRule type="cellIs" priority="2094" operator="equal" aboveAverage="0" equalAverage="0" bottom="0" percent="0" rank="0" text="" dxfId="3117">
      <formula>"В"</formula>
    </cfRule>
  </conditionalFormatting>
  <conditionalFormatting sqref="AA31">
    <cfRule type="cellIs" priority="2095" operator="greaterThan" aboveAverage="0" equalAverage="0" bottom="0" percent="0" rank="0" text="" dxfId="3118">
      <formula>0</formula>
    </cfRule>
    <cfRule type="expression" priority="2096" aboveAverage="0" equalAverage="0" bottom="0" percent="0" rank="0" text="" dxfId="3119">
      <formula>AA30&gt;0</formula>
    </cfRule>
  </conditionalFormatting>
  <conditionalFormatting sqref="AA32">
    <cfRule type="cellIs" priority="2097" operator="equal" aboveAverage="0" equalAverage="0" bottom="0" percent="0" rank="0" text="" dxfId="3120">
      <formula>"В"</formula>
    </cfRule>
  </conditionalFormatting>
  <conditionalFormatting sqref="AA32">
    <cfRule type="cellIs" priority="2098" operator="greaterThan" aboveAverage="0" equalAverage="0" bottom="0" percent="0" rank="0" text="" dxfId="3121">
      <formula>0</formula>
    </cfRule>
    <cfRule type="expression" priority="2099" aboveAverage="0" equalAverage="0" bottom="0" percent="0" rank="0" text="" dxfId="3122">
      <formula>AA31&gt;0</formula>
    </cfRule>
  </conditionalFormatting>
  <conditionalFormatting sqref="AA33">
    <cfRule type="cellIs" priority="2100" operator="equal" aboveAverage="0" equalAverage="0" bottom="0" percent="0" rank="0" text="" dxfId="3123">
      <formula>"В"</formula>
    </cfRule>
  </conditionalFormatting>
  <conditionalFormatting sqref="AA33">
    <cfRule type="cellIs" priority="2101" operator="greaterThan" aboveAverage="0" equalAverage="0" bottom="0" percent="0" rank="0" text="" dxfId="3124">
      <formula>0</formula>
    </cfRule>
    <cfRule type="expression" priority="2102" aboveAverage="0" equalAverage="0" bottom="0" percent="0" rank="0" text="" dxfId="3125">
      <formula>AA32&gt;0</formula>
    </cfRule>
  </conditionalFormatting>
  <conditionalFormatting sqref="AA34">
    <cfRule type="cellIs" priority="2103" operator="equal" aboveAverage="0" equalAverage="0" bottom="0" percent="0" rank="0" text="" dxfId="3126">
      <formula>"В"</formula>
    </cfRule>
  </conditionalFormatting>
  <conditionalFormatting sqref="AA34">
    <cfRule type="cellIs" priority="2104" operator="greaterThan" aboveAverage="0" equalAverage="0" bottom="0" percent="0" rank="0" text="" dxfId="3127">
      <formula>0</formula>
    </cfRule>
    <cfRule type="expression" priority="2105" aboveAverage="0" equalAverage="0" bottom="0" percent="0" rank="0" text="" dxfId="3128">
      <formula>AA33&gt;0</formula>
    </cfRule>
  </conditionalFormatting>
  <conditionalFormatting sqref="AA35">
    <cfRule type="cellIs" priority="2106" operator="equal" aboveAverage="0" equalAverage="0" bottom="0" percent="0" rank="0" text="" dxfId="3129">
      <formula>"В"</formula>
    </cfRule>
  </conditionalFormatting>
  <conditionalFormatting sqref="AA35">
    <cfRule type="cellIs" priority="2107" operator="greaterThan" aboveAverage="0" equalAverage="0" bottom="0" percent="0" rank="0" text="" dxfId="3130">
      <formula>0</formula>
    </cfRule>
    <cfRule type="expression" priority="2108" aboveAverage="0" equalAverage="0" bottom="0" percent="0" rank="0" text="" dxfId="3131">
      <formula>AA34&gt;0</formula>
    </cfRule>
  </conditionalFormatting>
  <conditionalFormatting sqref="AA36">
    <cfRule type="cellIs" priority="2109" operator="equal" aboveAverage="0" equalAverage="0" bottom="0" percent="0" rank="0" text="" dxfId="3132">
      <formula>"В"</formula>
    </cfRule>
  </conditionalFormatting>
  <conditionalFormatting sqref="AA36">
    <cfRule type="cellIs" priority="2110" operator="greaterThan" aboveAverage="0" equalAverage="0" bottom="0" percent="0" rank="0" text="" dxfId="3133">
      <formula>0</formula>
    </cfRule>
    <cfRule type="expression" priority="2111" aboveAverage="0" equalAverage="0" bottom="0" percent="0" rank="0" text="" dxfId="3134">
      <formula>AA35&gt;0</formula>
    </cfRule>
  </conditionalFormatting>
  <conditionalFormatting sqref="AA37">
    <cfRule type="cellIs" priority="2112" operator="equal" aboveAverage="0" equalAverage="0" bottom="0" percent="0" rank="0" text="" dxfId="3135">
      <formula>"В"</formula>
    </cfRule>
  </conditionalFormatting>
  <conditionalFormatting sqref="AA37">
    <cfRule type="cellIs" priority="2113" operator="greaterThan" aboveAverage="0" equalAverage="0" bottom="0" percent="0" rank="0" text="" dxfId="3136">
      <formula>0</formula>
    </cfRule>
    <cfRule type="expression" priority="2114" aboveAverage="0" equalAverage="0" bottom="0" percent="0" rank="0" text="" dxfId="3137">
      <formula>AA36&gt;0</formula>
    </cfRule>
  </conditionalFormatting>
  <conditionalFormatting sqref="AA38">
    <cfRule type="cellIs" priority="2115" operator="equal" aboveAverage="0" equalAverage="0" bottom="0" percent="0" rank="0" text="" dxfId="3138">
      <formula>"В"</formula>
    </cfRule>
  </conditionalFormatting>
  <conditionalFormatting sqref="AA38">
    <cfRule type="cellIs" priority="2116" operator="greaterThan" aboveAverage="0" equalAverage="0" bottom="0" percent="0" rank="0" text="" dxfId="3139">
      <formula>0</formula>
    </cfRule>
    <cfRule type="expression" priority="2117" aboveAverage="0" equalAverage="0" bottom="0" percent="0" rank="0" text="" dxfId="3140">
      <formula>AA37&gt;0</formula>
    </cfRule>
  </conditionalFormatting>
  <conditionalFormatting sqref="AA39">
    <cfRule type="cellIs" priority="2118" operator="equal" aboveAverage="0" equalAverage="0" bottom="0" percent="0" rank="0" text="" dxfId="3141">
      <formula>"В"</formula>
    </cfRule>
  </conditionalFormatting>
  <conditionalFormatting sqref="AA39">
    <cfRule type="cellIs" priority="2119" operator="greaterThan" aboveAverage="0" equalAverage="0" bottom="0" percent="0" rank="0" text="" dxfId="3142">
      <formula>0</formula>
    </cfRule>
    <cfRule type="expression" priority="2120" aboveAverage="0" equalAverage="0" bottom="0" percent="0" rank="0" text="" dxfId="3143">
      <formula>AA38&gt;0</formula>
    </cfRule>
  </conditionalFormatting>
  <conditionalFormatting sqref="AA40">
    <cfRule type="cellIs" priority="2121" operator="equal" aboveAverage="0" equalAverage="0" bottom="0" percent="0" rank="0" text="" dxfId="3144">
      <formula>"В"</formula>
    </cfRule>
  </conditionalFormatting>
  <conditionalFormatting sqref="AA40">
    <cfRule type="cellIs" priority="2122" operator="greaterThan" aboveAverage="0" equalAverage="0" bottom="0" percent="0" rank="0" text="" dxfId="3145">
      <formula>0</formula>
    </cfRule>
    <cfRule type="expression" priority="2123" aboveAverage="0" equalAverage="0" bottom="0" percent="0" rank="0" text="" dxfId="3146">
      <formula>AA39&gt;0</formula>
    </cfRule>
  </conditionalFormatting>
  <conditionalFormatting sqref="AA41">
    <cfRule type="cellIs" priority="2124" operator="equal" aboveAverage="0" equalAverage="0" bottom="0" percent="0" rank="0" text="" dxfId="3147">
      <formula>"В"</formula>
    </cfRule>
  </conditionalFormatting>
  <conditionalFormatting sqref="AA41">
    <cfRule type="cellIs" priority="2125" operator="greaterThan" aboveAverage="0" equalAverage="0" bottom="0" percent="0" rank="0" text="" dxfId="3148">
      <formula>0</formula>
    </cfRule>
    <cfRule type="expression" priority="2126" aboveAverage="0" equalAverage="0" bottom="0" percent="0" rank="0" text="" dxfId="3149">
      <formula>AA40&gt;0</formula>
    </cfRule>
  </conditionalFormatting>
  <conditionalFormatting sqref="AA42">
    <cfRule type="cellIs" priority="2127" operator="equal" aboveAverage="0" equalAverage="0" bottom="0" percent="0" rank="0" text="" dxfId="3150">
      <formula>"В"</formula>
    </cfRule>
  </conditionalFormatting>
  <conditionalFormatting sqref="AA42">
    <cfRule type="cellIs" priority="2128" operator="greaterThan" aboveAverage="0" equalAverage="0" bottom="0" percent="0" rank="0" text="" dxfId="3151">
      <formula>0</formula>
    </cfRule>
    <cfRule type="expression" priority="2129" aboveAverage="0" equalAverage="0" bottom="0" percent="0" rank="0" text="" dxfId="3152">
      <formula>AA41&gt;0</formula>
    </cfRule>
  </conditionalFormatting>
  <conditionalFormatting sqref="AA43">
    <cfRule type="cellIs" priority="2130" operator="equal" aboveAverage="0" equalAverage="0" bottom="0" percent="0" rank="0" text="" dxfId="3153">
      <formula>"В"</formula>
    </cfRule>
  </conditionalFormatting>
  <conditionalFormatting sqref="AA43">
    <cfRule type="cellIs" priority="2131" operator="greaterThan" aboveAverage="0" equalAverage="0" bottom="0" percent="0" rank="0" text="" dxfId="3154">
      <formula>0</formula>
    </cfRule>
    <cfRule type="expression" priority="2132" aboveAverage="0" equalAverage="0" bottom="0" percent="0" rank="0" text="" dxfId="3155">
      <formula>AA42&gt;0</formula>
    </cfRule>
  </conditionalFormatting>
  <conditionalFormatting sqref="AA44">
    <cfRule type="cellIs" priority="2133" operator="equal" aboveAverage="0" equalAverage="0" bottom="0" percent="0" rank="0" text="" dxfId="3156">
      <formula>"В"</formula>
    </cfRule>
  </conditionalFormatting>
  <conditionalFormatting sqref="AA44">
    <cfRule type="cellIs" priority="2134" operator="greaterThan" aboveAverage="0" equalAverage="0" bottom="0" percent="0" rank="0" text="" dxfId="3157">
      <formula>0</formula>
    </cfRule>
    <cfRule type="expression" priority="2135" aboveAverage="0" equalAverage="0" bottom="0" percent="0" rank="0" text="" dxfId="3158">
      <formula>AA43&gt;0</formula>
    </cfRule>
  </conditionalFormatting>
  <conditionalFormatting sqref="AA45">
    <cfRule type="cellIs" priority="2136" operator="equal" aboveAverage="0" equalAverage="0" bottom="0" percent="0" rank="0" text="" dxfId="3159">
      <formula>"В"</formula>
    </cfRule>
  </conditionalFormatting>
  <conditionalFormatting sqref="AA45">
    <cfRule type="cellIs" priority="2137" operator="greaterThan" aboveAverage="0" equalAverage="0" bottom="0" percent="0" rank="0" text="" dxfId="3160">
      <formula>0</formula>
    </cfRule>
    <cfRule type="expression" priority="2138" aboveAverage="0" equalAverage="0" bottom="0" percent="0" rank="0" text="" dxfId="3161">
      <formula>AA44&gt;0</formula>
    </cfRule>
  </conditionalFormatting>
  <conditionalFormatting sqref="AA46">
    <cfRule type="cellIs" priority="2139" operator="equal" aboveAverage="0" equalAverage="0" bottom="0" percent="0" rank="0" text="" dxfId="3162">
      <formula>"В"</formula>
    </cfRule>
  </conditionalFormatting>
  <conditionalFormatting sqref="AA46">
    <cfRule type="cellIs" priority="2140" operator="greaterThan" aboveAverage="0" equalAverage="0" bottom="0" percent="0" rank="0" text="" dxfId="3163">
      <formula>0</formula>
    </cfRule>
    <cfRule type="expression" priority="2141" aboveAverage="0" equalAverage="0" bottom="0" percent="0" rank="0" text="" dxfId="3164">
      <formula>AA45&gt;0</formula>
    </cfRule>
  </conditionalFormatting>
  <conditionalFormatting sqref="AA47">
    <cfRule type="cellIs" priority="2142" operator="equal" aboveAverage="0" equalAverage="0" bottom="0" percent="0" rank="0" text="" dxfId="3165">
      <formula>"В"</formula>
    </cfRule>
  </conditionalFormatting>
  <conditionalFormatting sqref="AA47">
    <cfRule type="cellIs" priority="2143" operator="greaterThan" aboveAverage="0" equalAverage="0" bottom="0" percent="0" rank="0" text="" dxfId="3166">
      <formula>0</formula>
    </cfRule>
    <cfRule type="expression" priority="2144" aboveAverage="0" equalAverage="0" bottom="0" percent="0" rank="0" text="" dxfId="3167">
      <formula>AA46&gt;0</formula>
    </cfRule>
  </conditionalFormatting>
  <conditionalFormatting sqref="AA48">
    <cfRule type="cellIs" priority="2145" operator="equal" aboveAverage="0" equalAverage="0" bottom="0" percent="0" rank="0" text="" dxfId="3168">
      <formula>"В"</formula>
    </cfRule>
  </conditionalFormatting>
  <conditionalFormatting sqref="AA48">
    <cfRule type="cellIs" priority="2146" operator="greaterThan" aboveAverage="0" equalAverage="0" bottom="0" percent="0" rank="0" text="" dxfId="3169">
      <formula>0</formula>
    </cfRule>
    <cfRule type="expression" priority="2147" aboveAverage="0" equalAverage="0" bottom="0" percent="0" rank="0" text="" dxfId="3170">
      <formula>AA47&gt;0</formula>
    </cfRule>
  </conditionalFormatting>
  <conditionalFormatting sqref="AA49">
    <cfRule type="cellIs" priority="2148" operator="equal" aboveAverage="0" equalAverage="0" bottom="0" percent="0" rank="0" text="" dxfId="3171">
      <formula>"В"</formula>
    </cfRule>
  </conditionalFormatting>
  <conditionalFormatting sqref="AA49">
    <cfRule type="cellIs" priority="2149" operator="greaterThan" aboveAverage="0" equalAverage="0" bottom="0" percent="0" rank="0" text="" dxfId="3172">
      <formula>0</formula>
    </cfRule>
    <cfRule type="expression" priority="2150" aboveAverage="0" equalAverage="0" bottom="0" percent="0" rank="0" text="" dxfId="3173">
      <formula>AA48&gt;0</formula>
    </cfRule>
  </conditionalFormatting>
  <conditionalFormatting sqref="AB22">
    <cfRule type="cellIs" priority="2151" operator="equal" aboveAverage="0" equalAverage="0" bottom="0" percent="0" rank="0" text="" dxfId="3174">
      <formula>"В"</formula>
    </cfRule>
  </conditionalFormatting>
  <conditionalFormatting sqref="AB22">
    <cfRule type="cellIs" priority="2152" operator="greaterThan" aboveAverage="0" equalAverage="0" bottom="0" percent="0" rank="0" text="" dxfId="3175">
      <formula>0</formula>
    </cfRule>
    <cfRule type="expression" priority="2153" aboveAverage="0" equalAverage="0" bottom="0" percent="0" rank="0" text="" dxfId="3176">
      <formula>AB21&gt;0</formula>
    </cfRule>
  </conditionalFormatting>
  <conditionalFormatting sqref="AB23">
    <cfRule type="cellIs" priority="2154" operator="equal" aboveAverage="0" equalAverage="0" bottom="0" percent="0" rank="0" text="" dxfId="3177">
      <formula>"В"</formula>
    </cfRule>
  </conditionalFormatting>
  <conditionalFormatting sqref="AB23">
    <cfRule type="cellIs" priority="2155" operator="greaterThan" aboveAverage="0" equalAverage="0" bottom="0" percent="0" rank="0" text="" dxfId="3178">
      <formula>0</formula>
    </cfRule>
    <cfRule type="expression" priority="2156" aboveAverage="0" equalAverage="0" bottom="0" percent="0" rank="0" text="" dxfId="3179">
      <formula>AB22&gt;0</formula>
    </cfRule>
  </conditionalFormatting>
  <conditionalFormatting sqref="AB24">
    <cfRule type="cellIs" priority="2157" operator="equal" aboveAverage="0" equalAverage="0" bottom="0" percent="0" rank="0" text="" dxfId="3180">
      <formula>"В"</formula>
    </cfRule>
  </conditionalFormatting>
  <conditionalFormatting sqref="AB24">
    <cfRule type="cellIs" priority="2158" operator="greaterThan" aboveAverage="0" equalAverage="0" bottom="0" percent="0" rank="0" text="" dxfId="3181">
      <formula>0</formula>
    </cfRule>
    <cfRule type="expression" priority="2159" aboveAverage="0" equalAverage="0" bottom="0" percent="0" rank="0" text="" dxfId="3182">
      <formula>AB23&gt;0</formula>
    </cfRule>
  </conditionalFormatting>
  <conditionalFormatting sqref="AB25">
    <cfRule type="cellIs" priority="2160" operator="equal" aboveAverage="0" equalAverage="0" bottom="0" percent="0" rank="0" text="" dxfId="3183">
      <formula>"В"</formula>
    </cfRule>
  </conditionalFormatting>
  <conditionalFormatting sqref="AB25">
    <cfRule type="cellIs" priority="2161" operator="greaterThan" aboveAverage="0" equalAverage="0" bottom="0" percent="0" rank="0" text="" dxfId="3184">
      <formula>0</formula>
    </cfRule>
    <cfRule type="expression" priority="2162" aboveAverage="0" equalAverage="0" bottom="0" percent="0" rank="0" text="" dxfId="3185">
      <formula>AB24&gt;0</formula>
    </cfRule>
  </conditionalFormatting>
  <conditionalFormatting sqref="AB26">
    <cfRule type="cellIs" priority="2163" operator="equal" aboveAverage="0" equalAverage="0" bottom="0" percent="0" rank="0" text="" dxfId="3186">
      <formula>"В"</formula>
    </cfRule>
  </conditionalFormatting>
  <conditionalFormatting sqref="AB26">
    <cfRule type="cellIs" priority="2164" operator="greaterThan" aboveAverage="0" equalAverage="0" bottom="0" percent="0" rank="0" text="" dxfId="3187">
      <formula>0</formula>
    </cfRule>
    <cfRule type="expression" priority="2165" aboveAverage="0" equalAverage="0" bottom="0" percent="0" rank="0" text="" dxfId="3188">
      <formula>AB25&gt;0</formula>
    </cfRule>
  </conditionalFormatting>
  <conditionalFormatting sqref="AB27">
    <cfRule type="cellIs" priority="2166" operator="equal" aboveAverage="0" equalAverage="0" bottom="0" percent="0" rank="0" text="" dxfId="3189">
      <formula>"В"</formula>
    </cfRule>
  </conditionalFormatting>
  <conditionalFormatting sqref="AB27">
    <cfRule type="cellIs" priority="2167" operator="greaterThan" aboveAverage="0" equalAverage="0" bottom="0" percent="0" rank="0" text="" dxfId="3190">
      <formula>0</formula>
    </cfRule>
    <cfRule type="expression" priority="2168" aboveAverage="0" equalAverage="0" bottom="0" percent="0" rank="0" text="" dxfId="3191">
      <formula>AB26&gt;0</formula>
    </cfRule>
  </conditionalFormatting>
  <conditionalFormatting sqref="AB28">
    <cfRule type="cellIs" priority="2169" operator="equal" aboveAverage="0" equalAverage="0" bottom="0" percent="0" rank="0" text="" dxfId="3192">
      <formula>"В"</formula>
    </cfRule>
  </conditionalFormatting>
  <conditionalFormatting sqref="AB28">
    <cfRule type="cellIs" priority="2170" operator="greaterThan" aboveAverage="0" equalAverage="0" bottom="0" percent="0" rank="0" text="" dxfId="3193">
      <formula>0</formula>
    </cfRule>
    <cfRule type="expression" priority="2171" aboveAverage="0" equalAverage="0" bottom="0" percent="0" rank="0" text="" dxfId="3194">
      <formula>AB27&gt;0</formula>
    </cfRule>
  </conditionalFormatting>
  <conditionalFormatting sqref="AB29">
    <cfRule type="cellIs" priority="2172" operator="equal" aboveAverage="0" equalAverage="0" bottom="0" percent="0" rank="0" text="" dxfId="3195">
      <formula>"В"</formula>
    </cfRule>
  </conditionalFormatting>
  <conditionalFormatting sqref="AB29">
    <cfRule type="cellIs" priority="2173" operator="greaterThan" aboveAverage="0" equalAverage="0" bottom="0" percent="0" rank="0" text="" dxfId="3196">
      <formula>0</formula>
    </cfRule>
    <cfRule type="expression" priority="2174" aboveAverage="0" equalAverage="0" bottom="0" percent="0" rank="0" text="" dxfId="3197">
      <formula>AB28&gt;0</formula>
    </cfRule>
  </conditionalFormatting>
  <conditionalFormatting sqref="AB30">
    <cfRule type="cellIs" priority="2175" operator="equal" aboveAverage="0" equalAverage="0" bottom="0" percent="0" rank="0" text="" dxfId="3198">
      <formula>"В"</formula>
    </cfRule>
  </conditionalFormatting>
  <conditionalFormatting sqref="AB30">
    <cfRule type="cellIs" priority="2176" operator="greaterThan" aboveAverage="0" equalAverage="0" bottom="0" percent="0" rank="0" text="" dxfId="3199">
      <formula>0</formula>
    </cfRule>
    <cfRule type="expression" priority="2177" aboveAverage="0" equalAverage="0" bottom="0" percent="0" rank="0" text="" dxfId="3200">
      <formula>AB29&gt;0</formula>
    </cfRule>
  </conditionalFormatting>
  <conditionalFormatting sqref="AB31">
    <cfRule type="cellIs" priority="2178" operator="equal" aboveAverage="0" equalAverage="0" bottom="0" percent="0" rank="0" text="" dxfId="3201">
      <formula>"В"</formula>
    </cfRule>
  </conditionalFormatting>
  <conditionalFormatting sqref="AB31">
    <cfRule type="cellIs" priority="2179" operator="greaterThan" aboveAverage="0" equalAverage="0" bottom="0" percent="0" rank="0" text="" dxfId="3202">
      <formula>0</formula>
    </cfRule>
    <cfRule type="expression" priority="2180" aboveAverage="0" equalAverage="0" bottom="0" percent="0" rank="0" text="" dxfId="3203">
      <formula>AB30&gt;0</formula>
    </cfRule>
  </conditionalFormatting>
  <conditionalFormatting sqref="AB32">
    <cfRule type="cellIs" priority="2181" operator="equal" aboveAverage="0" equalAverage="0" bottom="0" percent="0" rank="0" text="" dxfId="3204">
      <formula>"В"</formula>
    </cfRule>
  </conditionalFormatting>
  <conditionalFormatting sqref="AB32">
    <cfRule type="cellIs" priority="2182" operator="greaterThan" aboveAverage="0" equalAverage="0" bottom="0" percent="0" rank="0" text="" dxfId="3205">
      <formula>0</formula>
    </cfRule>
    <cfRule type="expression" priority="2183" aboveAverage="0" equalAverage="0" bottom="0" percent="0" rank="0" text="" dxfId="3206">
      <formula>AB31&gt;0</formula>
    </cfRule>
  </conditionalFormatting>
  <conditionalFormatting sqref="AB33">
    <cfRule type="cellIs" priority="2184" operator="equal" aboveAverage="0" equalAverage="0" bottom="0" percent="0" rank="0" text="" dxfId="3207">
      <formula>"В"</formula>
    </cfRule>
  </conditionalFormatting>
  <conditionalFormatting sqref="AB33">
    <cfRule type="cellIs" priority="2185" operator="greaterThan" aboveAverage="0" equalAverage="0" bottom="0" percent="0" rank="0" text="" dxfId="3208">
      <formula>0</formula>
    </cfRule>
    <cfRule type="expression" priority="2186" aboveAverage="0" equalAverage="0" bottom="0" percent="0" rank="0" text="" dxfId="3209">
      <formula>AB32&gt;0</formula>
    </cfRule>
  </conditionalFormatting>
  <conditionalFormatting sqref="AB34">
    <cfRule type="cellIs" priority="2187" operator="equal" aboveAverage="0" equalAverage="0" bottom="0" percent="0" rank="0" text="" dxfId="3210">
      <formula>"В"</formula>
    </cfRule>
  </conditionalFormatting>
  <conditionalFormatting sqref="AB34">
    <cfRule type="cellIs" priority="2188" operator="greaterThan" aboveAverage="0" equalAverage="0" bottom="0" percent="0" rank="0" text="" dxfId="3211">
      <formula>0</formula>
    </cfRule>
    <cfRule type="expression" priority="2189" aboveAverage="0" equalAverage="0" bottom="0" percent="0" rank="0" text="" dxfId="3212">
      <formula>AB33&gt;0</formula>
    </cfRule>
  </conditionalFormatting>
  <conditionalFormatting sqref="AB35">
    <cfRule type="cellIs" priority="2190" operator="equal" aboveAverage="0" equalAverage="0" bottom="0" percent="0" rank="0" text="" dxfId="3213">
      <formula>"В"</formula>
    </cfRule>
  </conditionalFormatting>
  <conditionalFormatting sqref="AB35">
    <cfRule type="cellIs" priority="2191" operator="greaterThan" aboveAverage="0" equalAverage="0" bottom="0" percent="0" rank="0" text="" dxfId="3214">
      <formula>0</formula>
    </cfRule>
    <cfRule type="expression" priority="2192" aboveAverage="0" equalAverage="0" bottom="0" percent="0" rank="0" text="" dxfId="3215">
      <formula>AB34&gt;0</formula>
    </cfRule>
  </conditionalFormatting>
  <conditionalFormatting sqref="AB36">
    <cfRule type="cellIs" priority="2193" operator="equal" aboveAverage="0" equalAverage="0" bottom="0" percent="0" rank="0" text="" dxfId="3216">
      <formula>"В"</formula>
    </cfRule>
  </conditionalFormatting>
  <conditionalFormatting sqref="AB36">
    <cfRule type="cellIs" priority="2194" operator="greaterThan" aboveAverage="0" equalAverage="0" bottom="0" percent="0" rank="0" text="" dxfId="3217">
      <formula>0</formula>
    </cfRule>
    <cfRule type="expression" priority="2195" aboveAverage="0" equalAverage="0" bottom="0" percent="0" rank="0" text="" dxfId="3218">
      <formula>AB35&gt;0</formula>
    </cfRule>
  </conditionalFormatting>
  <conditionalFormatting sqref="AB37">
    <cfRule type="cellIs" priority="2196" operator="equal" aboveAverage="0" equalAverage="0" bottom="0" percent="0" rank="0" text="" dxfId="3219">
      <formula>"В"</formula>
    </cfRule>
  </conditionalFormatting>
  <conditionalFormatting sqref="AB37">
    <cfRule type="cellIs" priority="2197" operator="greaterThan" aboveAverage="0" equalAverage="0" bottom="0" percent="0" rank="0" text="" dxfId="3220">
      <formula>0</formula>
    </cfRule>
    <cfRule type="expression" priority="2198" aboveAverage="0" equalAverage="0" bottom="0" percent="0" rank="0" text="" dxfId="3221">
      <formula>AB36&gt;0</formula>
    </cfRule>
  </conditionalFormatting>
  <conditionalFormatting sqref="AB38">
    <cfRule type="cellIs" priority="2199" operator="equal" aboveAverage="0" equalAverage="0" bottom="0" percent="0" rank="0" text="" dxfId="3222">
      <formula>"В"</formula>
    </cfRule>
  </conditionalFormatting>
  <conditionalFormatting sqref="AB38">
    <cfRule type="cellIs" priority="2200" operator="greaterThan" aboveAverage="0" equalAverage="0" bottom="0" percent="0" rank="0" text="" dxfId="3223">
      <formula>0</formula>
    </cfRule>
    <cfRule type="expression" priority="2201" aboveAverage="0" equalAverage="0" bottom="0" percent="0" rank="0" text="" dxfId="3224">
      <formula>AB37&gt;0</formula>
    </cfRule>
  </conditionalFormatting>
  <conditionalFormatting sqref="AB39">
    <cfRule type="cellIs" priority="2202" operator="equal" aboveAverage="0" equalAverage="0" bottom="0" percent="0" rank="0" text="" dxfId="3225">
      <formula>"В"</formula>
    </cfRule>
  </conditionalFormatting>
  <conditionalFormatting sqref="AB39">
    <cfRule type="cellIs" priority="2203" operator="greaterThan" aboveAverage="0" equalAverage="0" bottom="0" percent="0" rank="0" text="" dxfId="3226">
      <formula>0</formula>
    </cfRule>
    <cfRule type="expression" priority="2204" aboveAverage="0" equalAverage="0" bottom="0" percent="0" rank="0" text="" dxfId="3227">
      <formula>AB38&gt;0</formula>
    </cfRule>
  </conditionalFormatting>
  <conditionalFormatting sqref="AB40">
    <cfRule type="cellIs" priority="2205" operator="equal" aboveAverage="0" equalAverage="0" bottom="0" percent="0" rank="0" text="" dxfId="3228">
      <formula>"В"</formula>
    </cfRule>
  </conditionalFormatting>
  <conditionalFormatting sqref="AB40">
    <cfRule type="cellIs" priority="2206" operator="greaterThan" aboveAverage="0" equalAverage="0" bottom="0" percent="0" rank="0" text="" dxfId="3229">
      <formula>0</formula>
    </cfRule>
    <cfRule type="expression" priority="2207" aboveAverage="0" equalAverage="0" bottom="0" percent="0" rank="0" text="" dxfId="3230">
      <formula>AB39&gt;0</formula>
    </cfRule>
  </conditionalFormatting>
  <conditionalFormatting sqref="AB41">
    <cfRule type="cellIs" priority="2208" operator="equal" aboveAverage="0" equalAverage="0" bottom="0" percent="0" rank="0" text="" dxfId="3231">
      <formula>"В"</formula>
    </cfRule>
  </conditionalFormatting>
  <conditionalFormatting sqref="AB41">
    <cfRule type="cellIs" priority="2209" operator="greaterThan" aboveAverage="0" equalAverage="0" bottom="0" percent="0" rank="0" text="" dxfId="3232">
      <formula>0</formula>
    </cfRule>
    <cfRule type="expression" priority="2210" aboveAverage="0" equalAverage="0" bottom="0" percent="0" rank="0" text="" dxfId="3233">
      <formula>AB40&gt;0</formula>
    </cfRule>
  </conditionalFormatting>
  <conditionalFormatting sqref="AB42">
    <cfRule type="cellIs" priority="2211" operator="equal" aboveAverage="0" equalAverage="0" bottom="0" percent="0" rank="0" text="" dxfId="3234">
      <formula>"В"</formula>
    </cfRule>
  </conditionalFormatting>
  <conditionalFormatting sqref="AB42">
    <cfRule type="cellIs" priority="2212" operator="greaterThan" aboveAverage="0" equalAverage="0" bottom="0" percent="0" rank="0" text="" dxfId="3235">
      <formula>0</formula>
    </cfRule>
    <cfRule type="expression" priority="2213" aboveAverage="0" equalAverage="0" bottom="0" percent="0" rank="0" text="" dxfId="3236">
      <formula>AB41&gt;0</formula>
    </cfRule>
  </conditionalFormatting>
  <conditionalFormatting sqref="AB43">
    <cfRule type="cellIs" priority="2214" operator="equal" aboveAverage="0" equalAverage="0" bottom="0" percent="0" rank="0" text="" dxfId="3237">
      <formula>"В"</formula>
    </cfRule>
  </conditionalFormatting>
  <conditionalFormatting sqref="AB43">
    <cfRule type="cellIs" priority="2215" operator="greaterThan" aboveAverage="0" equalAverage="0" bottom="0" percent="0" rank="0" text="" dxfId="3238">
      <formula>0</formula>
    </cfRule>
    <cfRule type="expression" priority="2216" aboveAverage="0" equalAverage="0" bottom="0" percent="0" rank="0" text="" dxfId="3239">
      <formula>AB42&gt;0</formula>
    </cfRule>
  </conditionalFormatting>
  <conditionalFormatting sqref="AB44">
    <cfRule type="cellIs" priority="2217" operator="equal" aboveAverage="0" equalAverage="0" bottom="0" percent="0" rank="0" text="" dxfId="3240">
      <formula>"В"</formula>
    </cfRule>
  </conditionalFormatting>
  <conditionalFormatting sqref="AB44">
    <cfRule type="cellIs" priority="2218" operator="greaterThan" aboveAverage="0" equalAverage="0" bottom="0" percent="0" rank="0" text="" dxfId="3241">
      <formula>0</formula>
    </cfRule>
    <cfRule type="expression" priority="2219" aboveAverage="0" equalAverage="0" bottom="0" percent="0" rank="0" text="" dxfId="3242">
      <formula>AB43&gt;0</formula>
    </cfRule>
  </conditionalFormatting>
  <conditionalFormatting sqref="AB45">
    <cfRule type="cellIs" priority="2220" operator="equal" aboveAverage="0" equalAverage="0" bottom="0" percent="0" rank="0" text="" dxfId="3243">
      <formula>"В"</formula>
    </cfRule>
  </conditionalFormatting>
  <conditionalFormatting sqref="AB45">
    <cfRule type="cellIs" priority="2221" operator="greaterThan" aboveAverage="0" equalAverage="0" bottom="0" percent="0" rank="0" text="" dxfId="3244">
      <formula>0</formula>
    </cfRule>
    <cfRule type="expression" priority="2222" aboveAverage="0" equalAverage="0" bottom="0" percent="0" rank="0" text="" dxfId="3245">
      <formula>AB44&gt;0</formula>
    </cfRule>
  </conditionalFormatting>
  <conditionalFormatting sqref="AB46">
    <cfRule type="cellIs" priority="2223" operator="equal" aboveAverage="0" equalAverage="0" bottom="0" percent="0" rank="0" text="" dxfId="3246">
      <formula>"В"</formula>
    </cfRule>
  </conditionalFormatting>
  <conditionalFormatting sqref="AB46">
    <cfRule type="cellIs" priority="2224" operator="greaterThan" aboveAverage="0" equalAverage="0" bottom="0" percent="0" rank="0" text="" dxfId="3247">
      <formula>0</formula>
    </cfRule>
    <cfRule type="expression" priority="2225" aboveAverage="0" equalAverage="0" bottom="0" percent="0" rank="0" text="" dxfId="3248">
      <formula>AB45&gt;0</formula>
    </cfRule>
  </conditionalFormatting>
  <conditionalFormatting sqref="AB47">
    <cfRule type="cellIs" priority="2226" operator="equal" aboveAverage="0" equalAverage="0" bottom="0" percent="0" rank="0" text="" dxfId="3249">
      <formula>"В"</formula>
    </cfRule>
  </conditionalFormatting>
  <conditionalFormatting sqref="AB47">
    <cfRule type="cellIs" priority="2227" operator="greaterThan" aboveAverage="0" equalAverage="0" bottom="0" percent="0" rank="0" text="" dxfId="3250">
      <formula>0</formula>
    </cfRule>
    <cfRule type="expression" priority="2228" aboveAverage="0" equalAverage="0" bottom="0" percent="0" rank="0" text="" dxfId="3251">
      <formula>AB46&gt;0</formula>
    </cfRule>
  </conditionalFormatting>
  <conditionalFormatting sqref="AB48">
    <cfRule type="cellIs" priority="2229" operator="equal" aboveAverage="0" equalAverage="0" bottom="0" percent="0" rank="0" text="" dxfId="3252">
      <formula>"В"</formula>
    </cfRule>
  </conditionalFormatting>
  <conditionalFormatting sqref="AB48">
    <cfRule type="cellIs" priority="2230" operator="greaterThan" aboveAverage="0" equalAverage="0" bottom="0" percent="0" rank="0" text="" dxfId="3253">
      <formula>0</formula>
    </cfRule>
    <cfRule type="expression" priority="2231" aboveAverage="0" equalAverage="0" bottom="0" percent="0" rank="0" text="" dxfId="3254">
      <formula>AB47&gt;0</formula>
    </cfRule>
  </conditionalFormatting>
  <conditionalFormatting sqref="AB49">
    <cfRule type="cellIs" priority="2232" operator="equal" aboveAverage="0" equalAverage="0" bottom="0" percent="0" rank="0" text="" dxfId="3255">
      <formula>"В"</formula>
    </cfRule>
  </conditionalFormatting>
  <conditionalFormatting sqref="AB49">
    <cfRule type="cellIs" priority="2233" operator="greaterThan" aboveAverage="0" equalAverage="0" bottom="0" percent="0" rank="0" text="" dxfId="3256">
      <formula>0</formula>
    </cfRule>
    <cfRule type="expression" priority="2234" aboveAverage="0" equalAverage="0" bottom="0" percent="0" rank="0" text="" dxfId="3257">
      <formula>AB48&gt;0</formula>
    </cfRule>
  </conditionalFormatting>
  <conditionalFormatting sqref="AC22">
    <cfRule type="cellIs" priority="2235" operator="equal" aboveAverage="0" equalAverage="0" bottom="0" percent="0" rank="0" text="" dxfId="3258">
      <formula>"В"</formula>
    </cfRule>
  </conditionalFormatting>
  <conditionalFormatting sqref="AC22">
    <cfRule type="cellIs" priority="2236" operator="greaterThan" aboveAverage="0" equalAverage="0" bottom="0" percent="0" rank="0" text="" dxfId="3259">
      <formula>0</formula>
    </cfRule>
    <cfRule type="expression" priority="2237" aboveAverage="0" equalAverage="0" bottom="0" percent="0" rank="0" text="" dxfId="3260">
      <formula>AC21&gt;0</formula>
    </cfRule>
  </conditionalFormatting>
  <conditionalFormatting sqref="AC23">
    <cfRule type="cellIs" priority="2238" operator="equal" aboveAverage="0" equalAverage="0" bottom="0" percent="0" rank="0" text="" dxfId="3261">
      <formula>"В"</formula>
    </cfRule>
  </conditionalFormatting>
  <conditionalFormatting sqref="AC23">
    <cfRule type="cellIs" priority="2239" operator="greaterThan" aboveAverage="0" equalAverage="0" bottom="0" percent="0" rank="0" text="" dxfId="3262">
      <formula>0</formula>
    </cfRule>
    <cfRule type="expression" priority="2240" aboveAverage="0" equalAverage="0" bottom="0" percent="0" rank="0" text="" dxfId="3263">
      <formula>AC22&gt;0</formula>
    </cfRule>
  </conditionalFormatting>
  <conditionalFormatting sqref="AC24">
    <cfRule type="cellIs" priority="2241" operator="equal" aboveAverage="0" equalAverage="0" bottom="0" percent="0" rank="0" text="" dxfId="3264">
      <formula>"В"</formula>
    </cfRule>
  </conditionalFormatting>
  <conditionalFormatting sqref="AC24">
    <cfRule type="cellIs" priority="2242" operator="greaterThan" aboveAverage="0" equalAverage="0" bottom="0" percent="0" rank="0" text="" dxfId="3265">
      <formula>0</formula>
    </cfRule>
    <cfRule type="expression" priority="2243" aboveAverage="0" equalAverage="0" bottom="0" percent="0" rank="0" text="" dxfId="3266">
      <formula>AC23&gt;0</formula>
    </cfRule>
  </conditionalFormatting>
  <conditionalFormatting sqref="AC25">
    <cfRule type="cellIs" priority="2244" operator="equal" aboveAverage="0" equalAverage="0" bottom="0" percent="0" rank="0" text="" dxfId="3267">
      <formula>"В"</formula>
    </cfRule>
  </conditionalFormatting>
  <conditionalFormatting sqref="AC25">
    <cfRule type="cellIs" priority="2245" operator="greaterThan" aboveAverage="0" equalAverage="0" bottom="0" percent="0" rank="0" text="" dxfId="3268">
      <formula>0</formula>
    </cfRule>
    <cfRule type="expression" priority="2246" aboveAverage="0" equalAverage="0" bottom="0" percent="0" rank="0" text="" dxfId="3269">
      <formula>AC24&gt;0</formula>
    </cfRule>
  </conditionalFormatting>
  <conditionalFormatting sqref="AC26">
    <cfRule type="cellIs" priority="2247" operator="equal" aboveAverage="0" equalAverage="0" bottom="0" percent="0" rank="0" text="" dxfId="3270">
      <formula>"В"</formula>
    </cfRule>
  </conditionalFormatting>
  <conditionalFormatting sqref="AC26">
    <cfRule type="cellIs" priority="2248" operator="greaterThan" aboveAverage="0" equalAverage="0" bottom="0" percent="0" rank="0" text="" dxfId="3271">
      <formula>0</formula>
    </cfRule>
    <cfRule type="expression" priority="2249" aboveAverage="0" equalAverage="0" bottom="0" percent="0" rank="0" text="" dxfId="3272">
      <formula>AC25&gt;0</formula>
    </cfRule>
  </conditionalFormatting>
  <conditionalFormatting sqref="AC27">
    <cfRule type="cellIs" priority="2250" operator="equal" aboveAverage="0" equalAverage="0" bottom="0" percent="0" rank="0" text="" dxfId="3273">
      <formula>"В"</formula>
    </cfRule>
  </conditionalFormatting>
  <conditionalFormatting sqref="AC27">
    <cfRule type="cellIs" priority="2251" operator="greaterThan" aboveAverage="0" equalAverage="0" bottom="0" percent="0" rank="0" text="" dxfId="3274">
      <formula>0</formula>
    </cfRule>
    <cfRule type="expression" priority="2252" aboveAverage="0" equalAverage="0" bottom="0" percent="0" rank="0" text="" dxfId="3275">
      <formula>AC26&gt;0</formula>
    </cfRule>
  </conditionalFormatting>
  <conditionalFormatting sqref="AC28">
    <cfRule type="cellIs" priority="2253" operator="equal" aboveAverage="0" equalAverage="0" bottom="0" percent="0" rank="0" text="" dxfId="3276">
      <formula>"В"</formula>
    </cfRule>
  </conditionalFormatting>
  <conditionalFormatting sqref="AC28">
    <cfRule type="cellIs" priority="2254" operator="greaterThan" aboveAverage="0" equalAverage="0" bottom="0" percent="0" rank="0" text="" dxfId="3277">
      <formula>0</formula>
    </cfRule>
    <cfRule type="expression" priority="2255" aboveAverage="0" equalAverage="0" bottom="0" percent="0" rank="0" text="" dxfId="3278">
      <formula>AC27&gt;0</formula>
    </cfRule>
  </conditionalFormatting>
  <conditionalFormatting sqref="AC29">
    <cfRule type="cellIs" priority="2256" operator="equal" aboveAverage="0" equalAverage="0" bottom="0" percent="0" rank="0" text="" dxfId="3279">
      <formula>"В"</formula>
    </cfRule>
  </conditionalFormatting>
  <conditionalFormatting sqref="AC29">
    <cfRule type="cellIs" priority="2257" operator="greaterThan" aboveAverage="0" equalAverage="0" bottom="0" percent="0" rank="0" text="" dxfId="3280">
      <formula>0</formula>
    </cfRule>
    <cfRule type="expression" priority="2258" aboveAverage="0" equalAverage="0" bottom="0" percent="0" rank="0" text="" dxfId="3281">
      <formula>AC28&gt;0</formula>
    </cfRule>
  </conditionalFormatting>
  <conditionalFormatting sqref="AC30">
    <cfRule type="cellIs" priority="2259" operator="equal" aboveAverage="0" equalAverage="0" bottom="0" percent="0" rank="0" text="" dxfId="3282">
      <formula>"В"</formula>
    </cfRule>
  </conditionalFormatting>
  <conditionalFormatting sqref="AC30">
    <cfRule type="cellIs" priority="2260" operator="greaterThan" aboveAverage="0" equalAverage="0" bottom="0" percent="0" rank="0" text="" dxfId="3283">
      <formula>0</formula>
    </cfRule>
    <cfRule type="expression" priority="2261" aboveAverage="0" equalAverage="0" bottom="0" percent="0" rank="0" text="" dxfId="3284">
      <formula>AC29&gt;0</formula>
    </cfRule>
  </conditionalFormatting>
  <conditionalFormatting sqref="AC31">
    <cfRule type="cellIs" priority="2262" operator="equal" aboveAverage="0" equalAverage="0" bottom="0" percent="0" rank="0" text="" dxfId="3285">
      <formula>"В"</formula>
    </cfRule>
  </conditionalFormatting>
  <conditionalFormatting sqref="AC31">
    <cfRule type="cellIs" priority="2263" operator="greaterThan" aboveAverage="0" equalAverage="0" bottom="0" percent="0" rank="0" text="" dxfId="3286">
      <formula>0</formula>
    </cfRule>
    <cfRule type="expression" priority="2264" aboveAverage="0" equalAverage="0" bottom="0" percent="0" rank="0" text="" dxfId="3287">
      <formula>AC30&gt;0</formula>
    </cfRule>
  </conditionalFormatting>
  <conditionalFormatting sqref="AC32">
    <cfRule type="cellIs" priority="2265" operator="equal" aboveAverage="0" equalAverage="0" bottom="0" percent="0" rank="0" text="" dxfId="3288">
      <formula>"В"</formula>
    </cfRule>
  </conditionalFormatting>
  <conditionalFormatting sqref="AC32">
    <cfRule type="cellIs" priority="2266" operator="greaterThan" aboveAverage="0" equalAverage="0" bottom="0" percent="0" rank="0" text="" dxfId="3289">
      <formula>0</formula>
    </cfRule>
    <cfRule type="expression" priority="2267" aboveAverage="0" equalAverage="0" bottom="0" percent="0" rank="0" text="" dxfId="3290">
      <formula>AC31&gt;0</formula>
    </cfRule>
  </conditionalFormatting>
  <conditionalFormatting sqref="AC33">
    <cfRule type="cellIs" priority="2268" operator="equal" aboveAverage="0" equalAverage="0" bottom="0" percent="0" rank="0" text="" dxfId="3291">
      <formula>"В"</formula>
    </cfRule>
  </conditionalFormatting>
  <conditionalFormatting sqref="AC33">
    <cfRule type="cellIs" priority="2269" operator="greaterThan" aboveAverage="0" equalAverage="0" bottom="0" percent="0" rank="0" text="" dxfId="3292">
      <formula>0</formula>
    </cfRule>
    <cfRule type="expression" priority="2270" aboveAverage="0" equalAverage="0" bottom="0" percent="0" rank="0" text="" dxfId="3293">
      <formula>AC32&gt;0</formula>
    </cfRule>
  </conditionalFormatting>
  <conditionalFormatting sqref="AC34">
    <cfRule type="cellIs" priority="2271" operator="equal" aboveAverage="0" equalAverage="0" bottom="0" percent="0" rank="0" text="" dxfId="3294">
      <formula>"В"</formula>
    </cfRule>
  </conditionalFormatting>
  <conditionalFormatting sqref="AC34">
    <cfRule type="cellIs" priority="2272" operator="greaterThan" aboveAverage="0" equalAverage="0" bottom="0" percent="0" rank="0" text="" dxfId="3295">
      <formula>0</formula>
    </cfRule>
    <cfRule type="expression" priority="2273" aboveAverage="0" equalAverage="0" bottom="0" percent="0" rank="0" text="" dxfId="3296">
      <formula>AC33&gt;0</formula>
    </cfRule>
  </conditionalFormatting>
  <conditionalFormatting sqref="AC35">
    <cfRule type="cellIs" priority="2274" operator="equal" aboveAverage="0" equalAverage="0" bottom="0" percent="0" rank="0" text="" dxfId="3297">
      <formula>"В"</formula>
    </cfRule>
  </conditionalFormatting>
  <conditionalFormatting sqref="AC35">
    <cfRule type="cellIs" priority="2275" operator="greaterThan" aboveAverage="0" equalAverage="0" bottom="0" percent="0" rank="0" text="" dxfId="3298">
      <formula>0</formula>
    </cfRule>
    <cfRule type="expression" priority="2276" aboveAverage="0" equalAverage="0" bottom="0" percent="0" rank="0" text="" dxfId="3299">
      <formula>AC34&gt;0</formula>
    </cfRule>
  </conditionalFormatting>
  <conditionalFormatting sqref="AC36">
    <cfRule type="cellIs" priority="2277" operator="equal" aboveAverage="0" equalAverage="0" bottom="0" percent="0" rank="0" text="" dxfId="3300">
      <formula>"В"</formula>
    </cfRule>
  </conditionalFormatting>
  <conditionalFormatting sqref="AC36">
    <cfRule type="cellIs" priority="2278" operator="greaterThan" aboveAverage="0" equalAverage="0" bottom="0" percent="0" rank="0" text="" dxfId="3301">
      <formula>0</formula>
    </cfRule>
    <cfRule type="expression" priority="2279" aboveAverage="0" equalAverage="0" bottom="0" percent="0" rank="0" text="" dxfId="3302">
      <formula>AC35&gt;0</formula>
    </cfRule>
  </conditionalFormatting>
  <conditionalFormatting sqref="AC37">
    <cfRule type="cellIs" priority="2280" operator="equal" aboveAverage="0" equalAverage="0" bottom="0" percent="0" rank="0" text="" dxfId="3303">
      <formula>"В"</formula>
    </cfRule>
  </conditionalFormatting>
  <conditionalFormatting sqref="AC37">
    <cfRule type="cellIs" priority="2281" operator="greaterThan" aboveAverage="0" equalAverage="0" bottom="0" percent="0" rank="0" text="" dxfId="3304">
      <formula>0</formula>
    </cfRule>
    <cfRule type="expression" priority="2282" aboveAverage="0" equalAverage="0" bottom="0" percent="0" rank="0" text="" dxfId="3305">
      <formula>AC36&gt;0</formula>
    </cfRule>
  </conditionalFormatting>
  <conditionalFormatting sqref="AC38">
    <cfRule type="cellIs" priority="2283" operator="equal" aboveAverage="0" equalAverage="0" bottom="0" percent="0" rank="0" text="" dxfId="3306">
      <formula>"В"</formula>
    </cfRule>
  </conditionalFormatting>
  <conditionalFormatting sqref="AC38">
    <cfRule type="cellIs" priority="2284" operator="greaterThan" aboveAverage="0" equalAverage="0" bottom="0" percent="0" rank="0" text="" dxfId="3307">
      <formula>0</formula>
    </cfRule>
    <cfRule type="expression" priority="2285" aboveAverage="0" equalAverage="0" bottom="0" percent="0" rank="0" text="" dxfId="3308">
      <formula>AC37&gt;0</formula>
    </cfRule>
  </conditionalFormatting>
  <conditionalFormatting sqref="AC39">
    <cfRule type="cellIs" priority="2286" operator="equal" aboveAverage="0" equalAverage="0" bottom="0" percent="0" rank="0" text="" dxfId="3309">
      <formula>"В"</formula>
    </cfRule>
  </conditionalFormatting>
  <conditionalFormatting sqref="AC39">
    <cfRule type="cellIs" priority="2287" operator="greaterThan" aboveAverage="0" equalAverage="0" bottom="0" percent="0" rank="0" text="" dxfId="3310">
      <formula>0</formula>
    </cfRule>
    <cfRule type="expression" priority="2288" aboveAverage="0" equalAverage="0" bottom="0" percent="0" rank="0" text="" dxfId="3311">
      <formula>AC38&gt;0</formula>
    </cfRule>
  </conditionalFormatting>
  <conditionalFormatting sqref="AC40">
    <cfRule type="cellIs" priority="2289" operator="equal" aboveAverage="0" equalAverage="0" bottom="0" percent="0" rank="0" text="" dxfId="3312">
      <formula>"В"</formula>
    </cfRule>
  </conditionalFormatting>
  <conditionalFormatting sqref="AC40">
    <cfRule type="cellIs" priority="2290" operator="greaterThan" aboveAverage="0" equalAverage="0" bottom="0" percent="0" rank="0" text="" dxfId="3313">
      <formula>0</formula>
    </cfRule>
    <cfRule type="expression" priority="2291" aboveAverage="0" equalAverage="0" bottom="0" percent="0" rank="0" text="" dxfId="3314">
      <formula>AC39&gt;0</formula>
    </cfRule>
  </conditionalFormatting>
  <conditionalFormatting sqref="AC41">
    <cfRule type="cellIs" priority="2292" operator="equal" aboveAverage="0" equalAverage="0" bottom="0" percent="0" rank="0" text="" dxfId="3315">
      <formula>"В"</formula>
    </cfRule>
  </conditionalFormatting>
  <conditionalFormatting sqref="AC41">
    <cfRule type="cellIs" priority="2293" operator="greaterThan" aboveAverage="0" equalAverage="0" bottom="0" percent="0" rank="0" text="" dxfId="3316">
      <formula>0</formula>
    </cfRule>
    <cfRule type="expression" priority="2294" aboveAverage="0" equalAverage="0" bottom="0" percent="0" rank="0" text="" dxfId="3317">
      <formula>AC40&gt;0</formula>
    </cfRule>
  </conditionalFormatting>
  <conditionalFormatting sqref="AC42">
    <cfRule type="cellIs" priority="2295" operator="equal" aboveAverage="0" equalAverage="0" bottom="0" percent="0" rank="0" text="" dxfId="3318">
      <formula>"В"</formula>
    </cfRule>
  </conditionalFormatting>
  <conditionalFormatting sqref="AC42">
    <cfRule type="cellIs" priority="2296" operator="greaterThan" aboveAverage="0" equalAverage="0" bottom="0" percent="0" rank="0" text="" dxfId="3319">
      <formula>0</formula>
    </cfRule>
    <cfRule type="expression" priority="2297" aboveAverage="0" equalAverage="0" bottom="0" percent="0" rank="0" text="" dxfId="3320">
      <formula>AC41&gt;0</formula>
    </cfRule>
  </conditionalFormatting>
  <conditionalFormatting sqref="AC43">
    <cfRule type="cellIs" priority="2298" operator="equal" aboveAverage="0" equalAverage="0" bottom="0" percent="0" rank="0" text="" dxfId="3321">
      <formula>"В"</formula>
    </cfRule>
  </conditionalFormatting>
  <conditionalFormatting sqref="AC43">
    <cfRule type="cellIs" priority="2299" operator="greaterThan" aboveAverage="0" equalAverage="0" bottom="0" percent="0" rank="0" text="" dxfId="3322">
      <formula>0</formula>
    </cfRule>
    <cfRule type="expression" priority="2300" aboveAverage="0" equalAverage="0" bottom="0" percent="0" rank="0" text="" dxfId="3323">
      <formula>AC42&gt;0</formula>
    </cfRule>
  </conditionalFormatting>
  <conditionalFormatting sqref="AC44">
    <cfRule type="cellIs" priority="2301" operator="equal" aboveAverage="0" equalAverage="0" bottom="0" percent="0" rank="0" text="" dxfId="3324">
      <formula>"В"</formula>
    </cfRule>
  </conditionalFormatting>
  <conditionalFormatting sqref="AC44">
    <cfRule type="cellIs" priority="2302" operator="greaterThan" aboveAverage="0" equalAverage="0" bottom="0" percent="0" rank="0" text="" dxfId="3325">
      <formula>0</formula>
    </cfRule>
    <cfRule type="expression" priority="2303" aboveAverage="0" equalAverage="0" bottom="0" percent="0" rank="0" text="" dxfId="3326">
      <formula>AC43&gt;0</formula>
    </cfRule>
  </conditionalFormatting>
  <conditionalFormatting sqref="AC45">
    <cfRule type="cellIs" priority="2304" operator="equal" aboveAverage="0" equalAverage="0" bottom="0" percent="0" rank="0" text="" dxfId="3327">
      <formula>"В"</formula>
    </cfRule>
  </conditionalFormatting>
  <conditionalFormatting sqref="AC45">
    <cfRule type="cellIs" priority="2305" operator="greaterThan" aboveAverage="0" equalAverage="0" bottom="0" percent="0" rank="0" text="" dxfId="3328">
      <formula>0</formula>
    </cfRule>
    <cfRule type="expression" priority="2306" aboveAverage="0" equalAverage="0" bottom="0" percent="0" rank="0" text="" dxfId="3329">
      <formula>AC44&gt;0</formula>
    </cfRule>
  </conditionalFormatting>
  <conditionalFormatting sqref="AC46">
    <cfRule type="cellIs" priority="2307" operator="equal" aboveAverage="0" equalAverage="0" bottom="0" percent="0" rank="0" text="" dxfId="3330">
      <formula>"В"</formula>
    </cfRule>
  </conditionalFormatting>
  <conditionalFormatting sqref="AC46">
    <cfRule type="cellIs" priority="2308" operator="greaterThan" aboveAverage="0" equalAverage="0" bottom="0" percent="0" rank="0" text="" dxfId="3331">
      <formula>0</formula>
    </cfRule>
    <cfRule type="expression" priority="2309" aboveAverage="0" equalAverage="0" bottom="0" percent="0" rank="0" text="" dxfId="3332">
      <formula>AC45&gt;0</formula>
    </cfRule>
  </conditionalFormatting>
  <conditionalFormatting sqref="AC47">
    <cfRule type="cellIs" priority="2310" operator="equal" aboveAverage="0" equalAverage="0" bottom="0" percent="0" rank="0" text="" dxfId="3333">
      <formula>"В"</formula>
    </cfRule>
  </conditionalFormatting>
  <conditionalFormatting sqref="AC47">
    <cfRule type="cellIs" priority="2311" operator="greaterThan" aboveAverage="0" equalAverage="0" bottom="0" percent="0" rank="0" text="" dxfId="3334">
      <formula>0</formula>
    </cfRule>
    <cfRule type="expression" priority="2312" aboveAverage="0" equalAverage="0" bottom="0" percent="0" rank="0" text="" dxfId="3335">
      <formula>AC46&gt;0</formula>
    </cfRule>
  </conditionalFormatting>
  <conditionalFormatting sqref="AC48">
    <cfRule type="cellIs" priority="2313" operator="equal" aboveAverage="0" equalAverage="0" bottom="0" percent="0" rank="0" text="" dxfId="3336">
      <formula>"В"</formula>
    </cfRule>
  </conditionalFormatting>
  <conditionalFormatting sqref="AC48">
    <cfRule type="cellIs" priority="2314" operator="greaterThan" aboveAverage="0" equalAverage="0" bottom="0" percent="0" rank="0" text="" dxfId="3337">
      <formula>0</formula>
    </cfRule>
    <cfRule type="expression" priority="2315" aboveAverage="0" equalAverage="0" bottom="0" percent="0" rank="0" text="" dxfId="3338">
      <formula>AC47&gt;0</formula>
    </cfRule>
  </conditionalFormatting>
  <conditionalFormatting sqref="AC49">
    <cfRule type="cellIs" priority="2316" operator="equal" aboveAverage="0" equalAverage="0" bottom="0" percent="0" rank="0" text="" dxfId="3339">
      <formula>"В"</formula>
    </cfRule>
  </conditionalFormatting>
  <conditionalFormatting sqref="AC49">
    <cfRule type="cellIs" priority="2317" operator="greaterThan" aboveAverage="0" equalAverage="0" bottom="0" percent="0" rank="0" text="" dxfId="3340">
      <formula>0</formula>
    </cfRule>
    <cfRule type="expression" priority="2318" aboveAverage="0" equalAverage="0" bottom="0" percent="0" rank="0" text="" dxfId="3341">
      <formula>AC48&gt;0</formula>
    </cfRule>
  </conditionalFormatting>
  <conditionalFormatting sqref="AD22">
    <cfRule type="cellIs" priority="2319" operator="equal" aboveAverage="0" equalAverage="0" bottom="0" percent="0" rank="0" text="" dxfId="3342">
      <formula>"В"</formula>
    </cfRule>
  </conditionalFormatting>
  <conditionalFormatting sqref="AD22">
    <cfRule type="cellIs" priority="2320" operator="greaterThan" aboveAverage="0" equalAverage="0" bottom="0" percent="0" rank="0" text="" dxfId="3343">
      <formula>0</formula>
    </cfRule>
    <cfRule type="expression" priority="2321" aboveAverage="0" equalAverage="0" bottom="0" percent="0" rank="0" text="" dxfId="3344">
      <formula>AD21&gt;0</formula>
    </cfRule>
  </conditionalFormatting>
  <conditionalFormatting sqref="AD23">
    <cfRule type="cellIs" priority="2322" operator="equal" aboveAverage="0" equalAverage="0" bottom="0" percent="0" rank="0" text="" dxfId="3345">
      <formula>"В"</formula>
    </cfRule>
  </conditionalFormatting>
  <conditionalFormatting sqref="AD23">
    <cfRule type="cellIs" priority="2323" operator="greaterThan" aboveAverage="0" equalAverage="0" bottom="0" percent="0" rank="0" text="" dxfId="3346">
      <formula>0</formula>
    </cfRule>
    <cfRule type="expression" priority="2324" aboveAverage="0" equalAverage="0" bottom="0" percent="0" rank="0" text="" dxfId="3347">
      <formula>AD22&gt;0</formula>
    </cfRule>
  </conditionalFormatting>
  <conditionalFormatting sqref="AD24">
    <cfRule type="cellIs" priority="2325" operator="equal" aboveAverage="0" equalAverage="0" bottom="0" percent="0" rank="0" text="" dxfId="3348">
      <formula>"В"</formula>
    </cfRule>
  </conditionalFormatting>
  <conditionalFormatting sqref="AD24">
    <cfRule type="cellIs" priority="2326" operator="greaterThan" aboveAverage="0" equalAverage="0" bottom="0" percent="0" rank="0" text="" dxfId="3349">
      <formula>0</formula>
    </cfRule>
    <cfRule type="expression" priority="2327" aboveAverage="0" equalAverage="0" bottom="0" percent="0" rank="0" text="" dxfId="3350">
      <formula>AD23&gt;0</formula>
    </cfRule>
  </conditionalFormatting>
  <conditionalFormatting sqref="AD25">
    <cfRule type="cellIs" priority="2328" operator="equal" aboveAverage="0" equalAverage="0" bottom="0" percent="0" rank="0" text="" dxfId="3351">
      <formula>"В"</formula>
    </cfRule>
  </conditionalFormatting>
  <conditionalFormatting sqref="AD25">
    <cfRule type="cellIs" priority="2329" operator="greaterThan" aboveAverage="0" equalAverage="0" bottom="0" percent="0" rank="0" text="" dxfId="3352">
      <formula>0</formula>
    </cfRule>
    <cfRule type="expression" priority="2330" aboveAverage="0" equalAverage="0" bottom="0" percent="0" rank="0" text="" dxfId="3353">
      <formula>AD24&gt;0</formula>
    </cfRule>
  </conditionalFormatting>
  <conditionalFormatting sqref="AD26">
    <cfRule type="cellIs" priority="2331" operator="equal" aboveAverage="0" equalAverage="0" bottom="0" percent="0" rank="0" text="" dxfId="3354">
      <formula>"В"</formula>
    </cfRule>
  </conditionalFormatting>
  <conditionalFormatting sqref="AD26">
    <cfRule type="cellIs" priority="2332" operator="greaterThan" aboveAverage="0" equalAverage="0" bottom="0" percent="0" rank="0" text="" dxfId="3355">
      <formula>0</formula>
    </cfRule>
    <cfRule type="expression" priority="2333" aboveAverage="0" equalAverage="0" bottom="0" percent="0" rank="0" text="" dxfId="3356">
      <formula>AD25&gt;0</formula>
    </cfRule>
  </conditionalFormatting>
  <conditionalFormatting sqref="AD27">
    <cfRule type="cellIs" priority="2334" operator="equal" aboveAverage="0" equalAverage="0" bottom="0" percent="0" rank="0" text="" dxfId="3357">
      <formula>"В"</formula>
    </cfRule>
  </conditionalFormatting>
  <conditionalFormatting sqref="AD27">
    <cfRule type="cellIs" priority="2335" operator="greaterThan" aboveAverage="0" equalAverage="0" bottom="0" percent="0" rank="0" text="" dxfId="3358">
      <formula>0</formula>
    </cfRule>
    <cfRule type="expression" priority="2336" aboveAverage="0" equalAverage="0" bottom="0" percent="0" rank="0" text="" dxfId="3359">
      <formula>AD26&gt;0</formula>
    </cfRule>
  </conditionalFormatting>
  <conditionalFormatting sqref="AD28">
    <cfRule type="cellIs" priority="2337" operator="equal" aboveAverage="0" equalAverage="0" bottom="0" percent="0" rank="0" text="" dxfId="3360">
      <formula>"В"</formula>
    </cfRule>
  </conditionalFormatting>
  <conditionalFormatting sqref="AD28">
    <cfRule type="cellIs" priority="2338" operator="greaterThan" aboveAverage="0" equalAverage="0" bottom="0" percent="0" rank="0" text="" dxfId="3361">
      <formula>0</formula>
    </cfRule>
    <cfRule type="expression" priority="2339" aboveAverage="0" equalAverage="0" bottom="0" percent="0" rank="0" text="" dxfId="3362">
      <formula>AD27&gt;0</formula>
    </cfRule>
  </conditionalFormatting>
  <conditionalFormatting sqref="AD29">
    <cfRule type="cellIs" priority="2340" operator="equal" aboveAverage="0" equalAverage="0" bottom="0" percent="0" rank="0" text="" dxfId="3363">
      <formula>"В"</formula>
    </cfRule>
  </conditionalFormatting>
  <conditionalFormatting sqref="AD29">
    <cfRule type="cellIs" priority="2341" operator="greaterThan" aboveAverage="0" equalAverage="0" bottom="0" percent="0" rank="0" text="" dxfId="3364">
      <formula>0</formula>
    </cfRule>
    <cfRule type="expression" priority="2342" aboveAverage="0" equalAverage="0" bottom="0" percent="0" rank="0" text="" dxfId="3365">
      <formula>AD28&gt;0</formula>
    </cfRule>
  </conditionalFormatting>
  <conditionalFormatting sqref="AD30">
    <cfRule type="cellIs" priority="2343" operator="equal" aboveAverage="0" equalAverage="0" bottom="0" percent="0" rank="0" text="" dxfId="3366">
      <formula>"В"</formula>
    </cfRule>
  </conditionalFormatting>
  <conditionalFormatting sqref="AD30">
    <cfRule type="cellIs" priority="2344" operator="greaterThan" aboveAverage="0" equalAverage="0" bottom="0" percent="0" rank="0" text="" dxfId="3367">
      <formula>0</formula>
    </cfRule>
    <cfRule type="expression" priority="2345" aboveAverage="0" equalAverage="0" bottom="0" percent="0" rank="0" text="" dxfId="3368">
      <formula>AD29&gt;0</formula>
    </cfRule>
  </conditionalFormatting>
  <conditionalFormatting sqref="AD31">
    <cfRule type="cellIs" priority="2346" operator="equal" aboveAverage="0" equalAverage="0" bottom="0" percent="0" rank="0" text="" dxfId="3369">
      <formula>"В"</formula>
    </cfRule>
  </conditionalFormatting>
  <conditionalFormatting sqref="AD31">
    <cfRule type="cellIs" priority="2347" operator="greaterThan" aboveAverage="0" equalAverage="0" bottom="0" percent="0" rank="0" text="" dxfId="3370">
      <formula>0</formula>
    </cfRule>
    <cfRule type="expression" priority="2348" aboveAverage="0" equalAverage="0" bottom="0" percent="0" rank="0" text="" dxfId="3371">
      <formula>AD30&gt;0</formula>
    </cfRule>
  </conditionalFormatting>
  <conditionalFormatting sqref="AD32">
    <cfRule type="cellIs" priority="2349" operator="equal" aboveAverage="0" equalAverage="0" bottom="0" percent="0" rank="0" text="" dxfId="3372">
      <formula>"В"</formula>
    </cfRule>
  </conditionalFormatting>
  <conditionalFormatting sqref="AD32">
    <cfRule type="cellIs" priority="2350" operator="greaterThan" aboveAverage="0" equalAverage="0" bottom="0" percent="0" rank="0" text="" dxfId="3373">
      <formula>0</formula>
    </cfRule>
    <cfRule type="expression" priority="2351" aboveAverage="0" equalAverage="0" bottom="0" percent="0" rank="0" text="" dxfId="3374">
      <formula>AD31&gt;0</formula>
    </cfRule>
  </conditionalFormatting>
  <conditionalFormatting sqref="AD33">
    <cfRule type="cellIs" priority="2352" operator="equal" aboveAverage="0" equalAverage="0" bottom="0" percent="0" rank="0" text="" dxfId="3375">
      <formula>"В"</formula>
    </cfRule>
  </conditionalFormatting>
  <conditionalFormatting sqref="AD33">
    <cfRule type="cellIs" priority="2353" operator="greaterThan" aboveAverage="0" equalAverage="0" bottom="0" percent="0" rank="0" text="" dxfId="3376">
      <formula>0</formula>
    </cfRule>
    <cfRule type="expression" priority="2354" aboveAverage="0" equalAverage="0" bottom="0" percent="0" rank="0" text="" dxfId="3377">
      <formula>AD32&gt;0</formula>
    </cfRule>
  </conditionalFormatting>
  <conditionalFormatting sqref="AD34">
    <cfRule type="cellIs" priority="2355" operator="equal" aboveAverage="0" equalAverage="0" bottom="0" percent="0" rank="0" text="" dxfId="3378">
      <formula>"В"</formula>
    </cfRule>
  </conditionalFormatting>
  <conditionalFormatting sqref="AD34">
    <cfRule type="cellIs" priority="2356" operator="greaterThan" aboveAverage="0" equalAverage="0" bottom="0" percent="0" rank="0" text="" dxfId="3379">
      <formula>0</formula>
    </cfRule>
    <cfRule type="expression" priority="2357" aboveAverage="0" equalAverage="0" bottom="0" percent="0" rank="0" text="" dxfId="3380">
      <formula>AD33&gt;0</formula>
    </cfRule>
  </conditionalFormatting>
  <conditionalFormatting sqref="AD35">
    <cfRule type="cellIs" priority="2358" operator="equal" aboveAverage="0" equalAverage="0" bottom="0" percent="0" rank="0" text="" dxfId="3381">
      <formula>"В"</formula>
    </cfRule>
  </conditionalFormatting>
  <conditionalFormatting sqref="AD35">
    <cfRule type="cellIs" priority="2359" operator="greaterThan" aboveAverage="0" equalAverage="0" bottom="0" percent="0" rank="0" text="" dxfId="3382">
      <formula>0</formula>
    </cfRule>
    <cfRule type="expression" priority="2360" aboveAverage="0" equalAverage="0" bottom="0" percent="0" rank="0" text="" dxfId="3383">
      <formula>AD34&gt;0</formula>
    </cfRule>
  </conditionalFormatting>
  <conditionalFormatting sqref="AD36">
    <cfRule type="cellIs" priority="2361" operator="equal" aboveAverage="0" equalAverage="0" bottom="0" percent="0" rank="0" text="" dxfId="3384">
      <formula>"В"</formula>
    </cfRule>
  </conditionalFormatting>
  <conditionalFormatting sqref="AD36">
    <cfRule type="cellIs" priority="2362" operator="greaterThan" aboveAverage="0" equalAverage="0" bottom="0" percent="0" rank="0" text="" dxfId="3385">
      <formula>0</formula>
    </cfRule>
    <cfRule type="expression" priority="2363" aboveAverage="0" equalAverage="0" bottom="0" percent="0" rank="0" text="" dxfId="3386">
      <formula>AD35&gt;0</formula>
    </cfRule>
  </conditionalFormatting>
  <conditionalFormatting sqref="AD37">
    <cfRule type="cellIs" priority="2364" operator="equal" aboveAverage="0" equalAverage="0" bottom="0" percent="0" rank="0" text="" dxfId="3387">
      <formula>"В"</formula>
    </cfRule>
  </conditionalFormatting>
  <conditionalFormatting sqref="AD37">
    <cfRule type="cellIs" priority="2365" operator="greaterThan" aboveAverage="0" equalAverage="0" bottom="0" percent="0" rank="0" text="" dxfId="3388">
      <formula>0</formula>
    </cfRule>
    <cfRule type="expression" priority="2366" aboveAverage="0" equalAverage="0" bottom="0" percent="0" rank="0" text="" dxfId="3389">
      <formula>AD36&gt;0</formula>
    </cfRule>
  </conditionalFormatting>
  <conditionalFormatting sqref="AD38">
    <cfRule type="cellIs" priority="2367" operator="equal" aboveAverage="0" equalAverage="0" bottom="0" percent="0" rank="0" text="" dxfId="3390">
      <formula>"В"</formula>
    </cfRule>
  </conditionalFormatting>
  <conditionalFormatting sqref="AD38">
    <cfRule type="cellIs" priority="2368" operator="greaterThan" aboveAverage="0" equalAverage="0" bottom="0" percent="0" rank="0" text="" dxfId="3391">
      <formula>0</formula>
    </cfRule>
    <cfRule type="expression" priority="2369" aboveAverage="0" equalAverage="0" bottom="0" percent="0" rank="0" text="" dxfId="3392">
      <formula>AD37&gt;0</formula>
    </cfRule>
  </conditionalFormatting>
  <conditionalFormatting sqref="AD39">
    <cfRule type="cellIs" priority="2370" operator="equal" aboveAverage="0" equalAverage="0" bottom="0" percent="0" rank="0" text="" dxfId="3393">
      <formula>"В"</formula>
    </cfRule>
  </conditionalFormatting>
  <conditionalFormatting sqref="AD39">
    <cfRule type="cellIs" priority="2371" operator="greaterThan" aboveAverage="0" equalAverage="0" bottom="0" percent="0" rank="0" text="" dxfId="3394">
      <formula>0</formula>
    </cfRule>
    <cfRule type="expression" priority="2372" aboveAverage="0" equalAverage="0" bottom="0" percent="0" rank="0" text="" dxfId="3395">
      <formula>AD38&gt;0</formula>
    </cfRule>
  </conditionalFormatting>
  <conditionalFormatting sqref="AD40">
    <cfRule type="cellIs" priority="2373" operator="equal" aboveAverage="0" equalAverage="0" bottom="0" percent="0" rank="0" text="" dxfId="3396">
      <formula>"В"</formula>
    </cfRule>
  </conditionalFormatting>
  <conditionalFormatting sqref="AD40">
    <cfRule type="cellIs" priority="2374" operator="greaterThan" aboveAverage="0" equalAverage="0" bottom="0" percent="0" rank="0" text="" dxfId="3397">
      <formula>0</formula>
    </cfRule>
    <cfRule type="expression" priority="2375" aboveAverage="0" equalAverage="0" bottom="0" percent="0" rank="0" text="" dxfId="3398">
      <formula>AD39&gt;0</formula>
    </cfRule>
  </conditionalFormatting>
  <conditionalFormatting sqref="AD41">
    <cfRule type="cellIs" priority="2376" operator="equal" aboveAverage="0" equalAverage="0" bottom="0" percent="0" rank="0" text="" dxfId="3399">
      <formula>"В"</formula>
    </cfRule>
  </conditionalFormatting>
  <conditionalFormatting sqref="AD41">
    <cfRule type="cellIs" priority="2377" operator="greaterThan" aboveAverage="0" equalAverage="0" bottom="0" percent="0" rank="0" text="" dxfId="3400">
      <formula>0</formula>
    </cfRule>
    <cfRule type="expression" priority="2378" aboveAverage="0" equalAverage="0" bottom="0" percent="0" rank="0" text="" dxfId="3401">
      <formula>AD40&gt;0</formula>
    </cfRule>
  </conditionalFormatting>
  <conditionalFormatting sqref="AD42">
    <cfRule type="cellIs" priority="2379" operator="equal" aboveAverage="0" equalAverage="0" bottom="0" percent="0" rank="0" text="" dxfId="3402">
      <formula>"В"</formula>
    </cfRule>
  </conditionalFormatting>
  <conditionalFormatting sqref="AD42">
    <cfRule type="cellIs" priority="2380" operator="greaterThan" aboveAverage="0" equalAverage="0" bottom="0" percent="0" rank="0" text="" dxfId="3403">
      <formula>0</formula>
    </cfRule>
    <cfRule type="expression" priority="2381" aboveAverage="0" equalAverage="0" bottom="0" percent="0" rank="0" text="" dxfId="3404">
      <formula>AD41&gt;0</formula>
    </cfRule>
  </conditionalFormatting>
  <conditionalFormatting sqref="AD43">
    <cfRule type="cellIs" priority="2382" operator="equal" aboveAverage="0" equalAverage="0" bottom="0" percent="0" rank="0" text="" dxfId="3405">
      <formula>"В"</formula>
    </cfRule>
  </conditionalFormatting>
  <conditionalFormatting sqref="AD43">
    <cfRule type="cellIs" priority="2383" operator="greaterThan" aboveAverage="0" equalAverage="0" bottom="0" percent="0" rank="0" text="" dxfId="3406">
      <formula>0</formula>
    </cfRule>
    <cfRule type="expression" priority="2384" aboveAverage="0" equalAverage="0" bottom="0" percent="0" rank="0" text="" dxfId="3407">
      <formula>AD42&gt;0</formula>
    </cfRule>
  </conditionalFormatting>
  <conditionalFormatting sqref="AD44">
    <cfRule type="cellIs" priority="2385" operator="equal" aboveAverage="0" equalAverage="0" bottom="0" percent="0" rank="0" text="" dxfId="3408">
      <formula>"В"</formula>
    </cfRule>
  </conditionalFormatting>
  <conditionalFormatting sqref="AD44">
    <cfRule type="cellIs" priority="2386" operator="greaterThan" aboveAverage="0" equalAverage="0" bottom="0" percent="0" rank="0" text="" dxfId="3409">
      <formula>0</formula>
    </cfRule>
    <cfRule type="expression" priority="2387" aboveAverage="0" equalAverage="0" bottom="0" percent="0" rank="0" text="" dxfId="3410">
      <formula>AD43&gt;0</formula>
    </cfRule>
  </conditionalFormatting>
  <conditionalFormatting sqref="AD45">
    <cfRule type="cellIs" priority="2388" operator="equal" aboveAverage="0" equalAverage="0" bottom="0" percent="0" rank="0" text="" dxfId="3411">
      <formula>"В"</formula>
    </cfRule>
  </conditionalFormatting>
  <conditionalFormatting sqref="AD45">
    <cfRule type="cellIs" priority="2389" operator="greaterThan" aboveAverage="0" equalAverage="0" bottom="0" percent="0" rank="0" text="" dxfId="3412">
      <formula>0</formula>
    </cfRule>
    <cfRule type="expression" priority="2390" aboveAverage="0" equalAverage="0" bottom="0" percent="0" rank="0" text="" dxfId="3413">
      <formula>AD44&gt;0</formula>
    </cfRule>
  </conditionalFormatting>
  <conditionalFormatting sqref="AD46">
    <cfRule type="cellIs" priority="2391" operator="equal" aboveAverage="0" equalAverage="0" bottom="0" percent="0" rank="0" text="" dxfId="3414">
      <formula>"В"</formula>
    </cfRule>
  </conditionalFormatting>
  <conditionalFormatting sqref="AD46">
    <cfRule type="cellIs" priority="2392" operator="greaterThan" aboveAverage="0" equalAverage="0" bottom="0" percent="0" rank="0" text="" dxfId="3415">
      <formula>0</formula>
    </cfRule>
    <cfRule type="expression" priority="2393" aboveAverage="0" equalAverage="0" bottom="0" percent="0" rank="0" text="" dxfId="3416">
      <formula>AD45&gt;0</formula>
    </cfRule>
  </conditionalFormatting>
  <conditionalFormatting sqref="AD47">
    <cfRule type="cellIs" priority="2394" operator="equal" aboveAverage="0" equalAverage="0" bottom="0" percent="0" rank="0" text="" dxfId="3417">
      <formula>"В"</formula>
    </cfRule>
  </conditionalFormatting>
  <conditionalFormatting sqref="AD47">
    <cfRule type="cellIs" priority="2395" operator="greaterThan" aboveAverage="0" equalAverage="0" bottom="0" percent="0" rank="0" text="" dxfId="3418">
      <formula>0</formula>
    </cfRule>
    <cfRule type="expression" priority="2396" aboveAverage="0" equalAverage="0" bottom="0" percent="0" rank="0" text="" dxfId="3419">
      <formula>AD46&gt;0</formula>
    </cfRule>
  </conditionalFormatting>
  <conditionalFormatting sqref="AD48">
    <cfRule type="cellIs" priority="2397" operator="equal" aboveAverage="0" equalAverage="0" bottom="0" percent="0" rank="0" text="" dxfId="3420">
      <formula>"В"</formula>
    </cfRule>
  </conditionalFormatting>
  <conditionalFormatting sqref="AD48">
    <cfRule type="cellIs" priority="2398" operator="greaterThan" aboveAverage="0" equalAverage="0" bottom="0" percent="0" rank="0" text="" dxfId="3421">
      <formula>0</formula>
    </cfRule>
    <cfRule type="expression" priority="2399" aboveAverage="0" equalAverage="0" bottom="0" percent="0" rank="0" text="" dxfId="3422">
      <formula>AD47&gt;0</formula>
    </cfRule>
  </conditionalFormatting>
  <conditionalFormatting sqref="AD49">
    <cfRule type="cellIs" priority="2400" operator="equal" aboveAverage="0" equalAverage="0" bottom="0" percent="0" rank="0" text="" dxfId="3423">
      <formula>"В"</formula>
    </cfRule>
  </conditionalFormatting>
  <conditionalFormatting sqref="AD49">
    <cfRule type="cellIs" priority="2401" operator="greaterThan" aboveAverage="0" equalAverage="0" bottom="0" percent="0" rank="0" text="" dxfId="3424">
      <formula>0</formula>
    </cfRule>
    <cfRule type="expression" priority="2402" aboveAverage="0" equalAverage="0" bottom="0" percent="0" rank="0" text="" dxfId="3425">
      <formula>AD48&gt;0</formula>
    </cfRule>
  </conditionalFormatting>
  <conditionalFormatting sqref="AE22">
    <cfRule type="cellIs" priority="2403" operator="equal" aboveAverage="0" equalAverage="0" bottom="0" percent="0" rank="0" text="" dxfId="3426">
      <formula>"В"</formula>
    </cfRule>
  </conditionalFormatting>
  <conditionalFormatting sqref="AE22">
    <cfRule type="cellIs" priority="2404" operator="greaterThan" aboveAverage="0" equalAverage="0" bottom="0" percent="0" rank="0" text="" dxfId="3427">
      <formula>0</formula>
    </cfRule>
    <cfRule type="expression" priority="2405" aboveAverage="0" equalAverage="0" bottom="0" percent="0" rank="0" text="" dxfId="3428">
      <formula>AE21&gt;0</formula>
    </cfRule>
  </conditionalFormatting>
  <conditionalFormatting sqref="AE23">
    <cfRule type="cellIs" priority="2406" operator="equal" aboveAverage="0" equalAverage="0" bottom="0" percent="0" rank="0" text="" dxfId="3429">
      <formula>"В"</formula>
    </cfRule>
  </conditionalFormatting>
  <conditionalFormatting sqref="AE23">
    <cfRule type="cellIs" priority="2407" operator="greaterThan" aboveAverage="0" equalAverage="0" bottom="0" percent="0" rank="0" text="" dxfId="3430">
      <formula>0</formula>
    </cfRule>
    <cfRule type="expression" priority="2408" aboveAverage="0" equalAverage="0" bottom="0" percent="0" rank="0" text="" dxfId="3431">
      <formula>AE22&gt;0</formula>
    </cfRule>
  </conditionalFormatting>
  <conditionalFormatting sqref="AE24">
    <cfRule type="cellIs" priority="2409" operator="equal" aboveAverage="0" equalAverage="0" bottom="0" percent="0" rank="0" text="" dxfId="3432">
      <formula>"В"</formula>
    </cfRule>
  </conditionalFormatting>
  <conditionalFormatting sqref="AE24">
    <cfRule type="cellIs" priority="2410" operator="greaterThan" aboveAverage="0" equalAverage="0" bottom="0" percent="0" rank="0" text="" dxfId="3433">
      <formula>0</formula>
    </cfRule>
    <cfRule type="expression" priority="2411" aboveAverage="0" equalAverage="0" bottom="0" percent="0" rank="0" text="" dxfId="3434">
      <formula>AE23&gt;0</formula>
    </cfRule>
  </conditionalFormatting>
  <conditionalFormatting sqref="AE25">
    <cfRule type="cellIs" priority="2412" operator="equal" aboveAverage="0" equalAverage="0" bottom="0" percent="0" rank="0" text="" dxfId="3435">
      <formula>"В"</formula>
    </cfRule>
  </conditionalFormatting>
  <conditionalFormatting sqref="AE25">
    <cfRule type="cellIs" priority="2413" operator="greaterThan" aboveAverage="0" equalAverage="0" bottom="0" percent="0" rank="0" text="" dxfId="3436">
      <formula>0</formula>
    </cfRule>
    <cfRule type="expression" priority="2414" aboveAverage="0" equalAverage="0" bottom="0" percent="0" rank="0" text="" dxfId="3437">
      <formula>AE24&gt;0</formula>
    </cfRule>
  </conditionalFormatting>
  <conditionalFormatting sqref="AE26">
    <cfRule type="cellIs" priority="2415" operator="equal" aboveAverage="0" equalAverage="0" bottom="0" percent="0" rank="0" text="" dxfId="3438">
      <formula>"В"</formula>
    </cfRule>
  </conditionalFormatting>
  <conditionalFormatting sqref="AE26">
    <cfRule type="cellIs" priority="2416" operator="greaterThan" aboveAverage="0" equalAverage="0" bottom="0" percent="0" rank="0" text="" dxfId="3439">
      <formula>0</formula>
    </cfRule>
    <cfRule type="expression" priority="2417" aboveAverage="0" equalAverage="0" bottom="0" percent="0" rank="0" text="" dxfId="3440">
      <formula>AE25&gt;0</formula>
    </cfRule>
  </conditionalFormatting>
  <conditionalFormatting sqref="AE27">
    <cfRule type="cellIs" priority="2418" operator="equal" aboveAverage="0" equalAverage="0" bottom="0" percent="0" rank="0" text="" dxfId="3441">
      <formula>"В"</formula>
    </cfRule>
  </conditionalFormatting>
  <conditionalFormatting sqref="AE27">
    <cfRule type="cellIs" priority="2419" operator="greaterThan" aboveAverage="0" equalAverage="0" bottom="0" percent="0" rank="0" text="" dxfId="3442">
      <formula>0</formula>
    </cfRule>
    <cfRule type="expression" priority="2420" aboveAverage="0" equalAverage="0" bottom="0" percent="0" rank="0" text="" dxfId="3443">
      <formula>AE26&gt;0</formula>
    </cfRule>
  </conditionalFormatting>
  <conditionalFormatting sqref="AE28">
    <cfRule type="cellIs" priority="2421" operator="equal" aboveAverage="0" equalAverage="0" bottom="0" percent="0" rank="0" text="" dxfId="3444">
      <formula>"В"</formula>
    </cfRule>
  </conditionalFormatting>
  <conditionalFormatting sqref="AE28">
    <cfRule type="cellIs" priority="2422" operator="greaterThan" aboveAverage="0" equalAverage="0" bottom="0" percent="0" rank="0" text="" dxfId="3445">
      <formula>0</formula>
    </cfRule>
    <cfRule type="expression" priority="2423" aboveAverage="0" equalAverage="0" bottom="0" percent="0" rank="0" text="" dxfId="3446">
      <formula>AE27&gt;0</formula>
    </cfRule>
  </conditionalFormatting>
  <conditionalFormatting sqref="AE29">
    <cfRule type="cellIs" priority="2424" operator="equal" aboveAverage="0" equalAverage="0" bottom="0" percent="0" rank="0" text="" dxfId="3447">
      <formula>"В"</formula>
    </cfRule>
  </conditionalFormatting>
  <conditionalFormatting sqref="AE29">
    <cfRule type="cellIs" priority="2425" operator="greaterThan" aboveAverage="0" equalAverage="0" bottom="0" percent="0" rank="0" text="" dxfId="3448">
      <formula>0</formula>
    </cfRule>
    <cfRule type="expression" priority="2426" aboveAverage="0" equalAverage="0" bottom="0" percent="0" rank="0" text="" dxfId="3449">
      <formula>AE28&gt;0</formula>
    </cfRule>
  </conditionalFormatting>
  <conditionalFormatting sqref="AE30">
    <cfRule type="cellIs" priority="2427" operator="equal" aboveAverage="0" equalAverage="0" bottom="0" percent="0" rank="0" text="" dxfId="3450">
      <formula>"В"</formula>
    </cfRule>
  </conditionalFormatting>
  <conditionalFormatting sqref="AE30">
    <cfRule type="cellIs" priority="2428" operator="greaterThan" aboveAverage="0" equalAverage="0" bottom="0" percent="0" rank="0" text="" dxfId="3451">
      <formula>0</formula>
    </cfRule>
    <cfRule type="expression" priority="2429" aboveAverage="0" equalAverage="0" bottom="0" percent="0" rank="0" text="" dxfId="3452">
      <formula>AE29&gt;0</formula>
    </cfRule>
  </conditionalFormatting>
  <conditionalFormatting sqref="AE31">
    <cfRule type="cellIs" priority="2430" operator="equal" aboveAverage="0" equalAverage="0" bottom="0" percent="0" rank="0" text="" dxfId="3453">
      <formula>"В"</formula>
    </cfRule>
  </conditionalFormatting>
  <conditionalFormatting sqref="AE31">
    <cfRule type="cellIs" priority="2431" operator="greaterThan" aboveAverage="0" equalAverage="0" bottom="0" percent="0" rank="0" text="" dxfId="3454">
      <formula>0</formula>
    </cfRule>
    <cfRule type="expression" priority="2432" aboveAverage="0" equalAverage="0" bottom="0" percent="0" rank="0" text="" dxfId="3455">
      <formula>AE30&gt;0</formula>
    </cfRule>
  </conditionalFormatting>
  <conditionalFormatting sqref="AE32">
    <cfRule type="cellIs" priority="2433" operator="equal" aboveAverage="0" equalAverage="0" bottom="0" percent="0" rank="0" text="" dxfId="3456">
      <formula>"В"</formula>
    </cfRule>
  </conditionalFormatting>
  <conditionalFormatting sqref="AE32">
    <cfRule type="cellIs" priority="2434" operator="greaterThan" aboveAverage="0" equalAverage="0" bottom="0" percent="0" rank="0" text="" dxfId="3457">
      <formula>0</formula>
    </cfRule>
    <cfRule type="expression" priority="2435" aboveAverage="0" equalAverage="0" bottom="0" percent="0" rank="0" text="" dxfId="3458">
      <formula>AE31&gt;0</formula>
    </cfRule>
  </conditionalFormatting>
  <conditionalFormatting sqref="AE33">
    <cfRule type="cellIs" priority="2436" operator="equal" aboveAverage="0" equalAverage="0" bottom="0" percent="0" rank="0" text="" dxfId="3459">
      <formula>"В"</formula>
    </cfRule>
  </conditionalFormatting>
  <conditionalFormatting sqref="AE33">
    <cfRule type="cellIs" priority="2437" operator="greaterThan" aboveAverage="0" equalAverage="0" bottom="0" percent="0" rank="0" text="" dxfId="3460">
      <formula>0</formula>
    </cfRule>
    <cfRule type="expression" priority="2438" aboveAverage="0" equalAverage="0" bottom="0" percent="0" rank="0" text="" dxfId="3461">
      <formula>AE32&gt;0</formula>
    </cfRule>
  </conditionalFormatting>
  <conditionalFormatting sqref="AE34">
    <cfRule type="cellIs" priority="2439" operator="equal" aboveAverage="0" equalAverage="0" bottom="0" percent="0" rank="0" text="" dxfId="3462">
      <formula>"В"</formula>
    </cfRule>
  </conditionalFormatting>
  <conditionalFormatting sqref="AE34">
    <cfRule type="cellIs" priority="2440" operator="greaterThan" aboveAverage="0" equalAverage="0" bottom="0" percent="0" rank="0" text="" dxfId="3463">
      <formula>0</formula>
    </cfRule>
    <cfRule type="expression" priority="2441" aboveAverage="0" equalAverage="0" bottom="0" percent="0" rank="0" text="" dxfId="3464">
      <formula>AE33&gt;0</formula>
    </cfRule>
  </conditionalFormatting>
  <conditionalFormatting sqref="AE35">
    <cfRule type="cellIs" priority="2442" operator="equal" aboveAverage="0" equalAverage="0" bottom="0" percent="0" rank="0" text="" dxfId="3465">
      <formula>"В"</formula>
    </cfRule>
  </conditionalFormatting>
  <conditionalFormatting sqref="AE35">
    <cfRule type="cellIs" priority="2443" operator="greaterThan" aboveAverage="0" equalAverage="0" bottom="0" percent="0" rank="0" text="" dxfId="3466">
      <formula>0</formula>
    </cfRule>
    <cfRule type="expression" priority="2444" aboveAverage="0" equalAverage="0" bottom="0" percent="0" rank="0" text="" dxfId="3467">
      <formula>AE34&gt;0</formula>
    </cfRule>
  </conditionalFormatting>
  <conditionalFormatting sqref="AE36">
    <cfRule type="cellIs" priority="2445" operator="equal" aboveAverage="0" equalAverage="0" bottom="0" percent="0" rank="0" text="" dxfId="3468">
      <formula>"В"</formula>
    </cfRule>
  </conditionalFormatting>
  <conditionalFormatting sqref="AE36">
    <cfRule type="cellIs" priority="2446" operator="greaterThan" aboveAverage="0" equalAverage="0" bottom="0" percent="0" rank="0" text="" dxfId="3469">
      <formula>0</formula>
    </cfRule>
    <cfRule type="expression" priority="2447" aboveAverage="0" equalAverage="0" bottom="0" percent="0" rank="0" text="" dxfId="3470">
      <formula>AE35&gt;0</formula>
    </cfRule>
  </conditionalFormatting>
  <conditionalFormatting sqref="AE37">
    <cfRule type="cellIs" priority="2448" operator="equal" aboveAverage="0" equalAverage="0" bottom="0" percent="0" rank="0" text="" dxfId="3471">
      <formula>"В"</formula>
    </cfRule>
  </conditionalFormatting>
  <conditionalFormatting sqref="AE37">
    <cfRule type="cellIs" priority="2449" operator="greaterThan" aboveAverage="0" equalAverage="0" bottom="0" percent="0" rank="0" text="" dxfId="3472">
      <formula>0</formula>
    </cfRule>
    <cfRule type="expression" priority="2450" aboveAverage="0" equalAverage="0" bottom="0" percent="0" rank="0" text="" dxfId="3473">
      <formula>AE36&gt;0</formula>
    </cfRule>
  </conditionalFormatting>
  <conditionalFormatting sqref="AE38">
    <cfRule type="cellIs" priority="2451" operator="equal" aboveAverage="0" equalAverage="0" bottom="0" percent="0" rank="0" text="" dxfId="3474">
      <formula>"В"</formula>
    </cfRule>
  </conditionalFormatting>
  <conditionalFormatting sqref="AE38">
    <cfRule type="cellIs" priority="2452" operator="greaterThan" aboveAverage="0" equalAverage="0" bottom="0" percent="0" rank="0" text="" dxfId="3475">
      <formula>0</formula>
    </cfRule>
    <cfRule type="expression" priority="2453" aboveAverage="0" equalAverage="0" bottom="0" percent="0" rank="0" text="" dxfId="3476">
      <formula>AE37&gt;0</formula>
    </cfRule>
  </conditionalFormatting>
  <conditionalFormatting sqref="AE39">
    <cfRule type="cellIs" priority="2454" operator="equal" aboveAverage="0" equalAverage="0" bottom="0" percent="0" rank="0" text="" dxfId="3477">
      <formula>"В"</formula>
    </cfRule>
  </conditionalFormatting>
  <conditionalFormatting sqref="AE39">
    <cfRule type="cellIs" priority="2455" operator="greaterThan" aboveAverage="0" equalAverage="0" bottom="0" percent="0" rank="0" text="" dxfId="3478">
      <formula>0</formula>
    </cfRule>
    <cfRule type="expression" priority="2456" aboveAverage="0" equalAverage="0" bottom="0" percent="0" rank="0" text="" dxfId="3479">
      <formula>AE38&gt;0</formula>
    </cfRule>
  </conditionalFormatting>
  <conditionalFormatting sqref="AE40">
    <cfRule type="cellIs" priority="2457" operator="equal" aboveAverage="0" equalAverage="0" bottom="0" percent="0" rank="0" text="" dxfId="3480">
      <formula>"В"</formula>
    </cfRule>
  </conditionalFormatting>
  <conditionalFormatting sqref="AE40">
    <cfRule type="cellIs" priority="2458" operator="greaterThan" aboveAverage="0" equalAverage="0" bottom="0" percent="0" rank="0" text="" dxfId="3481">
      <formula>0</formula>
    </cfRule>
    <cfRule type="expression" priority="2459" aboveAverage="0" equalAverage="0" bottom="0" percent="0" rank="0" text="" dxfId="3482">
      <formula>AE39&gt;0</formula>
    </cfRule>
  </conditionalFormatting>
  <conditionalFormatting sqref="AE41">
    <cfRule type="cellIs" priority="2460" operator="equal" aboveAverage="0" equalAverage="0" bottom="0" percent="0" rank="0" text="" dxfId="3483">
      <formula>"В"</formula>
    </cfRule>
  </conditionalFormatting>
  <conditionalFormatting sqref="AE41">
    <cfRule type="cellIs" priority="2461" operator="greaterThan" aboveAverage="0" equalAverage="0" bottom="0" percent="0" rank="0" text="" dxfId="3484">
      <formula>0</formula>
    </cfRule>
    <cfRule type="expression" priority="2462" aboveAverage="0" equalAverage="0" bottom="0" percent="0" rank="0" text="" dxfId="3485">
      <formula>AE40&gt;0</formula>
    </cfRule>
  </conditionalFormatting>
  <conditionalFormatting sqref="AE42">
    <cfRule type="cellIs" priority="2463" operator="equal" aboveAverage="0" equalAverage="0" bottom="0" percent="0" rank="0" text="" dxfId="3486">
      <formula>"В"</formula>
    </cfRule>
  </conditionalFormatting>
  <conditionalFormatting sqref="AE42">
    <cfRule type="cellIs" priority="2464" operator="greaterThan" aboveAverage="0" equalAverage="0" bottom="0" percent="0" rank="0" text="" dxfId="3487">
      <formula>0</formula>
    </cfRule>
    <cfRule type="expression" priority="2465" aboveAverage="0" equalAverage="0" bottom="0" percent="0" rank="0" text="" dxfId="3488">
      <formula>AE41&gt;0</formula>
    </cfRule>
  </conditionalFormatting>
  <conditionalFormatting sqref="AE43">
    <cfRule type="cellIs" priority="2466" operator="equal" aboveAverage="0" equalAverage="0" bottom="0" percent="0" rank="0" text="" dxfId="3489">
      <formula>"В"</formula>
    </cfRule>
  </conditionalFormatting>
  <conditionalFormatting sqref="AE43">
    <cfRule type="cellIs" priority="2467" operator="greaterThan" aboveAverage="0" equalAverage="0" bottom="0" percent="0" rank="0" text="" dxfId="3490">
      <formula>0</formula>
    </cfRule>
    <cfRule type="expression" priority="2468" aboveAverage="0" equalAverage="0" bottom="0" percent="0" rank="0" text="" dxfId="3491">
      <formula>AE42&gt;0</formula>
    </cfRule>
  </conditionalFormatting>
  <conditionalFormatting sqref="AE44">
    <cfRule type="cellIs" priority="2469" operator="equal" aboveAverage="0" equalAverage="0" bottom="0" percent="0" rank="0" text="" dxfId="3492">
      <formula>"В"</formula>
    </cfRule>
  </conditionalFormatting>
  <conditionalFormatting sqref="AE44">
    <cfRule type="cellIs" priority="2470" operator="greaterThan" aboveAverage="0" equalAverage="0" bottom="0" percent="0" rank="0" text="" dxfId="3493">
      <formula>0</formula>
    </cfRule>
    <cfRule type="expression" priority="2471" aboveAverage="0" equalAverage="0" bottom="0" percent="0" rank="0" text="" dxfId="3494">
      <formula>AE43&gt;0</formula>
    </cfRule>
  </conditionalFormatting>
  <conditionalFormatting sqref="AE45">
    <cfRule type="cellIs" priority="2472" operator="equal" aboveAverage="0" equalAverage="0" bottom="0" percent="0" rank="0" text="" dxfId="3495">
      <formula>"В"</formula>
    </cfRule>
  </conditionalFormatting>
  <conditionalFormatting sqref="AE45">
    <cfRule type="cellIs" priority="2473" operator="greaterThan" aboveAverage="0" equalAverage="0" bottom="0" percent="0" rank="0" text="" dxfId="3496">
      <formula>0</formula>
    </cfRule>
    <cfRule type="expression" priority="2474" aboveAverage="0" equalAverage="0" bottom="0" percent="0" rank="0" text="" dxfId="3497">
      <formula>AE44&gt;0</formula>
    </cfRule>
  </conditionalFormatting>
  <conditionalFormatting sqref="AE46">
    <cfRule type="cellIs" priority="2475" operator="equal" aboveAverage="0" equalAverage="0" bottom="0" percent="0" rank="0" text="" dxfId="3498">
      <formula>"В"</formula>
    </cfRule>
  </conditionalFormatting>
  <conditionalFormatting sqref="AE46">
    <cfRule type="cellIs" priority="2476" operator="greaterThan" aboveAverage="0" equalAverage="0" bottom="0" percent="0" rank="0" text="" dxfId="3499">
      <formula>0</formula>
    </cfRule>
    <cfRule type="expression" priority="2477" aboveAverage="0" equalAverage="0" bottom="0" percent="0" rank="0" text="" dxfId="3500">
      <formula>AE45&gt;0</formula>
    </cfRule>
  </conditionalFormatting>
  <conditionalFormatting sqref="AE47">
    <cfRule type="cellIs" priority="2478" operator="equal" aboveAverage="0" equalAverage="0" bottom="0" percent="0" rank="0" text="" dxfId="3501">
      <formula>"В"</formula>
    </cfRule>
  </conditionalFormatting>
  <conditionalFormatting sqref="AE47">
    <cfRule type="cellIs" priority="2479" operator="greaterThan" aboveAverage="0" equalAverage="0" bottom="0" percent="0" rank="0" text="" dxfId="3502">
      <formula>0</formula>
    </cfRule>
    <cfRule type="expression" priority="2480" aboveAverage="0" equalAverage="0" bottom="0" percent="0" rank="0" text="" dxfId="3503">
      <formula>AE46&gt;0</formula>
    </cfRule>
  </conditionalFormatting>
  <conditionalFormatting sqref="AE48">
    <cfRule type="cellIs" priority="2481" operator="equal" aboveAverage="0" equalAverage="0" bottom="0" percent="0" rank="0" text="" dxfId="3504">
      <formula>"В"</formula>
    </cfRule>
  </conditionalFormatting>
  <conditionalFormatting sqref="AE48">
    <cfRule type="cellIs" priority="2482" operator="greaterThan" aboveAverage="0" equalAverage="0" bottom="0" percent="0" rank="0" text="" dxfId="3505">
      <formula>0</formula>
    </cfRule>
    <cfRule type="expression" priority="2483" aboveAverage="0" equalAverage="0" bottom="0" percent="0" rank="0" text="" dxfId="3506">
      <formula>AE47&gt;0</formula>
    </cfRule>
  </conditionalFormatting>
  <conditionalFormatting sqref="AE49">
    <cfRule type="cellIs" priority="2484" operator="equal" aboveAverage="0" equalAverage="0" bottom="0" percent="0" rank="0" text="" dxfId="3507">
      <formula>"В"</formula>
    </cfRule>
  </conditionalFormatting>
  <conditionalFormatting sqref="AE49">
    <cfRule type="cellIs" priority="2485" operator="greaterThan" aboveAverage="0" equalAverage="0" bottom="0" percent="0" rank="0" text="" dxfId="3508">
      <formula>0</formula>
    </cfRule>
    <cfRule type="expression" priority="2486" aboveAverage="0" equalAverage="0" bottom="0" percent="0" rank="0" text="" dxfId="3509">
      <formula>AE48&gt;0</formula>
    </cfRule>
  </conditionalFormatting>
  <conditionalFormatting sqref="AF22">
    <cfRule type="cellIs" priority="2487" operator="equal" aboveAverage="0" equalAverage="0" bottom="0" percent="0" rank="0" text="" dxfId="3510">
      <formula>"В"</formula>
    </cfRule>
  </conditionalFormatting>
  <conditionalFormatting sqref="AF22">
    <cfRule type="cellIs" priority="2488" operator="greaterThan" aboveAverage="0" equalAverage="0" bottom="0" percent="0" rank="0" text="" dxfId="3511">
      <formula>0</formula>
    </cfRule>
    <cfRule type="expression" priority="2489" aboveAverage="0" equalAverage="0" bottom="0" percent="0" rank="0" text="" dxfId="3512">
      <formula>AF21&gt;0</formula>
    </cfRule>
  </conditionalFormatting>
  <conditionalFormatting sqref="AF23">
    <cfRule type="cellIs" priority="2490" operator="equal" aboveAverage="0" equalAverage="0" bottom="0" percent="0" rank="0" text="" dxfId="3513">
      <formula>"В"</formula>
    </cfRule>
  </conditionalFormatting>
  <conditionalFormatting sqref="AF23">
    <cfRule type="cellIs" priority="2491" operator="greaterThan" aboveAverage="0" equalAverage="0" bottom="0" percent="0" rank="0" text="" dxfId="3514">
      <formula>0</formula>
    </cfRule>
    <cfRule type="expression" priority="2492" aboveAverage="0" equalAverage="0" bottom="0" percent="0" rank="0" text="" dxfId="3515">
      <formula>AF22&gt;0</formula>
    </cfRule>
  </conditionalFormatting>
  <conditionalFormatting sqref="AF24">
    <cfRule type="cellIs" priority="2493" operator="equal" aboveAverage="0" equalAverage="0" bottom="0" percent="0" rank="0" text="" dxfId="3516">
      <formula>"В"</formula>
    </cfRule>
  </conditionalFormatting>
  <conditionalFormatting sqref="AF24">
    <cfRule type="cellIs" priority="2494" operator="greaterThan" aboveAverage="0" equalAverage="0" bottom="0" percent="0" rank="0" text="" dxfId="3517">
      <formula>0</formula>
    </cfRule>
    <cfRule type="expression" priority="2495" aboveAverage="0" equalAverage="0" bottom="0" percent="0" rank="0" text="" dxfId="3518">
      <formula>AF23&gt;0</formula>
    </cfRule>
  </conditionalFormatting>
  <conditionalFormatting sqref="AF25">
    <cfRule type="cellIs" priority="2496" operator="equal" aboveAverage="0" equalAverage="0" bottom="0" percent="0" rank="0" text="" dxfId="3519">
      <formula>"В"</formula>
    </cfRule>
  </conditionalFormatting>
  <conditionalFormatting sqref="AF25">
    <cfRule type="cellIs" priority="2497" operator="greaterThan" aboveAverage="0" equalAverage="0" bottom="0" percent="0" rank="0" text="" dxfId="3520">
      <formula>0</formula>
    </cfRule>
    <cfRule type="expression" priority="2498" aboveAverage="0" equalAverage="0" bottom="0" percent="0" rank="0" text="" dxfId="3521">
      <formula>AF24&gt;0</formula>
    </cfRule>
  </conditionalFormatting>
  <conditionalFormatting sqref="AF26">
    <cfRule type="cellIs" priority="2499" operator="equal" aboveAverage="0" equalAverage="0" bottom="0" percent="0" rank="0" text="" dxfId="3522">
      <formula>"В"</formula>
    </cfRule>
  </conditionalFormatting>
  <conditionalFormatting sqref="AF26">
    <cfRule type="cellIs" priority="2500" operator="greaterThan" aboveAverage="0" equalAverage="0" bottom="0" percent="0" rank="0" text="" dxfId="3523">
      <formula>0</formula>
    </cfRule>
    <cfRule type="expression" priority="2501" aboveAverage="0" equalAverage="0" bottom="0" percent="0" rank="0" text="" dxfId="3524">
      <formula>AF25&gt;0</formula>
    </cfRule>
  </conditionalFormatting>
  <conditionalFormatting sqref="AF27">
    <cfRule type="cellIs" priority="2502" operator="equal" aboveAverage="0" equalAverage="0" bottom="0" percent="0" rank="0" text="" dxfId="3525">
      <formula>"В"</formula>
    </cfRule>
  </conditionalFormatting>
  <conditionalFormatting sqref="AF27">
    <cfRule type="cellIs" priority="2503" operator="greaterThan" aboveAverage="0" equalAverage="0" bottom="0" percent="0" rank="0" text="" dxfId="3526">
      <formula>0</formula>
    </cfRule>
    <cfRule type="expression" priority="2504" aboveAverage="0" equalAverage="0" bottom="0" percent="0" rank="0" text="" dxfId="3527">
      <formula>AF26&gt;0</formula>
    </cfRule>
  </conditionalFormatting>
  <conditionalFormatting sqref="AF28">
    <cfRule type="cellIs" priority="2505" operator="equal" aboveAverage="0" equalAverage="0" bottom="0" percent="0" rank="0" text="" dxfId="3528">
      <formula>"В"</formula>
    </cfRule>
  </conditionalFormatting>
  <conditionalFormatting sqref="AF28">
    <cfRule type="cellIs" priority="2506" operator="greaterThan" aboveAverage="0" equalAverage="0" bottom="0" percent="0" rank="0" text="" dxfId="3529">
      <formula>0</formula>
    </cfRule>
    <cfRule type="expression" priority="2507" aboveAverage="0" equalAverage="0" bottom="0" percent="0" rank="0" text="" dxfId="3530">
      <formula>AF27&gt;0</formula>
    </cfRule>
  </conditionalFormatting>
  <conditionalFormatting sqref="AF29">
    <cfRule type="cellIs" priority="2508" operator="equal" aboveAverage="0" equalAverage="0" bottom="0" percent="0" rank="0" text="" dxfId="3531">
      <formula>"В"</formula>
    </cfRule>
  </conditionalFormatting>
  <conditionalFormatting sqref="AF29">
    <cfRule type="cellIs" priority="2509" operator="greaterThan" aboveAverage="0" equalAverage="0" bottom="0" percent="0" rank="0" text="" dxfId="3532">
      <formula>0</formula>
    </cfRule>
    <cfRule type="expression" priority="2510" aboveAverage="0" equalAverage="0" bottom="0" percent="0" rank="0" text="" dxfId="3533">
      <formula>AF28&gt;0</formula>
    </cfRule>
  </conditionalFormatting>
  <conditionalFormatting sqref="AF30">
    <cfRule type="cellIs" priority="2511" operator="equal" aboveAverage="0" equalAverage="0" bottom="0" percent="0" rank="0" text="" dxfId="3534">
      <formula>"В"</formula>
    </cfRule>
  </conditionalFormatting>
  <conditionalFormatting sqref="AF30">
    <cfRule type="cellIs" priority="2512" operator="greaterThan" aboveAverage="0" equalAverage="0" bottom="0" percent="0" rank="0" text="" dxfId="3535">
      <formula>0</formula>
    </cfRule>
    <cfRule type="expression" priority="2513" aboveAverage="0" equalAverage="0" bottom="0" percent="0" rank="0" text="" dxfId="3536">
      <formula>AF29&gt;0</formula>
    </cfRule>
  </conditionalFormatting>
  <conditionalFormatting sqref="AF31">
    <cfRule type="cellIs" priority="2514" operator="equal" aboveAverage="0" equalAverage="0" bottom="0" percent="0" rank="0" text="" dxfId="3537">
      <formula>"В"</formula>
    </cfRule>
  </conditionalFormatting>
  <conditionalFormatting sqref="AF31">
    <cfRule type="cellIs" priority="2515" operator="greaterThan" aboveAverage="0" equalAverage="0" bottom="0" percent="0" rank="0" text="" dxfId="3538">
      <formula>0</formula>
    </cfRule>
    <cfRule type="expression" priority="2516" aboveAverage="0" equalAverage="0" bottom="0" percent="0" rank="0" text="" dxfId="3539">
      <formula>AF30&gt;0</formula>
    </cfRule>
  </conditionalFormatting>
  <conditionalFormatting sqref="AF32">
    <cfRule type="cellIs" priority="2517" operator="equal" aboveAverage="0" equalAverage="0" bottom="0" percent="0" rank="0" text="" dxfId="3540">
      <formula>"В"</formula>
    </cfRule>
  </conditionalFormatting>
  <conditionalFormatting sqref="AF32">
    <cfRule type="cellIs" priority="2518" operator="greaterThan" aboveAverage="0" equalAverage="0" bottom="0" percent="0" rank="0" text="" dxfId="3541">
      <formula>0</formula>
    </cfRule>
    <cfRule type="expression" priority="2519" aboveAverage="0" equalAverage="0" bottom="0" percent="0" rank="0" text="" dxfId="3542">
      <formula>AF31&gt;0</formula>
    </cfRule>
  </conditionalFormatting>
  <conditionalFormatting sqref="AF33">
    <cfRule type="cellIs" priority="2520" operator="equal" aboveAverage="0" equalAverage="0" bottom="0" percent="0" rank="0" text="" dxfId="3543">
      <formula>"В"</formula>
    </cfRule>
  </conditionalFormatting>
  <conditionalFormatting sqref="AF33">
    <cfRule type="cellIs" priority="2521" operator="greaterThan" aboveAverage="0" equalAverage="0" bottom="0" percent="0" rank="0" text="" dxfId="3544">
      <formula>0</formula>
    </cfRule>
    <cfRule type="expression" priority="2522" aboveAverage="0" equalAverage="0" bottom="0" percent="0" rank="0" text="" dxfId="3545">
      <formula>AF32&gt;0</formula>
    </cfRule>
  </conditionalFormatting>
  <conditionalFormatting sqref="AF34">
    <cfRule type="cellIs" priority="2523" operator="equal" aboveAverage="0" equalAverage="0" bottom="0" percent="0" rank="0" text="" dxfId="3546">
      <formula>"В"</formula>
    </cfRule>
  </conditionalFormatting>
  <conditionalFormatting sqref="AF34">
    <cfRule type="cellIs" priority="2524" operator="greaterThan" aboveAverage="0" equalAverage="0" bottom="0" percent="0" rank="0" text="" dxfId="3547">
      <formula>0</formula>
    </cfRule>
    <cfRule type="expression" priority="2525" aboveAverage="0" equalAverage="0" bottom="0" percent="0" rank="0" text="" dxfId="3548">
      <formula>AF33&gt;0</formula>
    </cfRule>
  </conditionalFormatting>
  <conditionalFormatting sqref="AF35">
    <cfRule type="cellIs" priority="2526" operator="equal" aboveAverage="0" equalAverage="0" bottom="0" percent="0" rank="0" text="" dxfId="3549">
      <formula>"В"</formula>
    </cfRule>
  </conditionalFormatting>
  <conditionalFormatting sqref="AF35">
    <cfRule type="cellIs" priority="2527" operator="greaterThan" aboveAverage="0" equalAverage="0" bottom="0" percent="0" rank="0" text="" dxfId="3550">
      <formula>0</formula>
    </cfRule>
    <cfRule type="expression" priority="2528" aboveAverage="0" equalAverage="0" bottom="0" percent="0" rank="0" text="" dxfId="3551">
      <formula>AF34&gt;0</formula>
    </cfRule>
  </conditionalFormatting>
  <conditionalFormatting sqref="AF36">
    <cfRule type="cellIs" priority="2529" operator="equal" aboveAverage="0" equalAverage="0" bottom="0" percent="0" rank="0" text="" dxfId="3552">
      <formula>"В"</formula>
    </cfRule>
  </conditionalFormatting>
  <conditionalFormatting sqref="AF36">
    <cfRule type="cellIs" priority="2530" operator="greaterThan" aboveAverage="0" equalAverage="0" bottom="0" percent="0" rank="0" text="" dxfId="3553">
      <formula>0</formula>
    </cfRule>
    <cfRule type="expression" priority="2531" aboveAverage="0" equalAverage="0" bottom="0" percent="0" rank="0" text="" dxfId="3554">
      <formula>AF35&gt;0</formula>
    </cfRule>
  </conditionalFormatting>
  <conditionalFormatting sqref="AF37">
    <cfRule type="cellIs" priority="2532" operator="equal" aboveAverage="0" equalAverage="0" bottom="0" percent="0" rank="0" text="" dxfId="3555">
      <formula>"В"</formula>
    </cfRule>
  </conditionalFormatting>
  <conditionalFormatting sqref="AF37">
    <cfRule type="cellIs" priority="2533" operator="greaterThan" aboveAverage="0" equalAverage="0" bottom="0" percent="0" rank="0" text="" dxfId="3556">
      <formula>0</formula>
    </cfRule>
    <cfRule type="expression" priority="2534" aboveAverage="0" equalAverage="0" bottom="0" percent="0" rank="0" text="" dxfId="3557">
      <formula>AF36&gt;0</formula>
    </cfRule>
  </conditionalFormatting>
  <conditionalFormatting sqref="AF38">
    <cfRule type="cellIs" priority="2535" operator="equal" aboveAverage="0" equalAverage="0" bottom="0" percent="0" rank="0" text="" dxfId="3558">
      <formula>"В"</formula>
    </cfRule>
  </conditionalFormatting>
  <conditionalFormatting sqref="AF38">
    <cfRule type="cellIs" priority="2536" operator="greaterThan" aboveAverage="0" equalAverage="0" bottom="0" percent="0" rank="0" text="" dxfId="3559">
      <formula>0</formula>
    </cfRule>
    <cfRule type="expression" priority="2537" aboveAverage="0" equalAverage="0" bottom="0" percent="0" rank="0" text="" dxfId="3560">
      <formula>AF37&gt;0</formula>
    </cfRule>
  </conditionalFormatting>
  <conditionalFormatting sqref="AF39">
    <cfRule type="cellIs" priority="2538" operator="equal" aboveAverage="0" equalAverage="0" bottom="0" percent="0" rank="0" text="" dxfId="3561">
      <formula>"В"</formula>
    </cfRule>
  </conditionalFormatting>
  <conditionalFormatting sqref="AF39">
    <cfRule type="cellIs" priority="2539" operator="greaterThan" aboveAverage="0" equalAverage="0" bottom="0" percent="0" rank="0" text="" dxfId="3562">
      <formula>0</formula>
    </cfRule>
    <cfRule type="expression" priority="2540" aboveAverage="0" equalAverage="0" bottom="0" percent="0" rank="0" text="" dxfId="3563">
      <formula>AF38&gt;0</formula>
    </cfRule>
  </conditionalFormatting>
  <conditionalFormatting sqref="AF40">
    <cfRule type="cellIs" priority="2541" operator="equal" aboveAverage="0" equalAverage="0" bottom="0" percent="0" rank="0" text="" dxfId="3564">
      <formula>"В"</formula>
    </cfRule>
  </conditionalFormatting>
  <conditionalFormatting sqref="AF40">
    <cfRule type="cellIs" priority="2542" operator="greaterThan" aboveAverage="0" equalAverage="0" bottom="0" percent="0" rank="0" text="" dxfId="3565">
      <formula>0</formula>
    </cfRule>
    <cfRule type="expression" priority="2543" aboveAverage="0" equalAverage="0" bottom="0" percent="0" rank="0" text="" dxfId="3566">
      <formula>AF39&gt;0</formula>
    </cfRule>
  </conditionalFormatting>
  <conditionalFormatting sqref="AF41">
    <cfRule type="cellIs" priority="2544" operator="equal" aboveAverage="0" equalAverage="0" bottom="0" percent="0" rank="0" text="" dxfId="3567">
      <formula>"В"</formula>
    </cfRule>
  </conditionalFormatting>
  <conditionalFormatting sqref="AF41">
    <cfRule type="cellIs" priority="2545" operator="greaterThan" aboveAverage="0" equalAverage="0" bottom="0" percent="0" rank="0" text="" dxfId="3568">
      <formula>0</formula>
    </cfRule>
    <cfRule type="expression" priority="2546" aboveAverage="0" equalAverage="0" bottom="0" percent="0" rank="0" text="" dxfId="3569">
      <formula>AF40&gt;0</formula>
    </cfRule>
  </conditionalFormatting>
  <conditionalFormatting sqref="AF42">
    <cfRule type="cellIs" priority="2547" operator="equal" aboveAverage="0" equalAverage="0" bottom="0" percent="0" rank="0" text="" dxfId="3570">
      <formula>"В"</formula>
    </cfRule>
  </conditionalFormatting>
  <conditionalFormatting sqref="AF42">
    <cfRule type="cellIs" priority="2548" operator="greaterThan" aboveAverage="0" equalAverage="0" bottom="0" percent="0" rank="0" text="" dxfId="3571">
      <formula>0</formula>
    </cfRule>
    <cfRule type="expression" priority="2549" aboveAverage="0" equalAverage="0" bottom="0" percent="0" rank="0" text="" dxfId="3572">
      <formula>AF41&gt;0</formula>
    </cfRule>
  </conditionalFormatting>
  <conditionalFormatting sqref="AF43">
    <cfRule type="cellIs" priority="2550" operator="equal" aboveAverage="0" equalAverage="0" bottom="0" percent="0" rank="0" text="" dxfId="3573">
      <formula>"В"</formula>
    </cfRule>
  </conditionalFormatting>
  <conditionalFormatting sqref="AF43">
    <cfRule type="cellIs" priority="2551" operator="greaterThan" aboveAverage="0" equalAverage="0" bottom="0" percent="0" rank="0" text="" dxfId="3574">
      <formula>0</formula>
    </cfRule>
    <cfRule type="expression" priority="2552" aboveAverage="0" equalAverage="0" bottom="0" percent="0" rank="0" text="" dxfId="3575">
      <formula>AF42&gt;0</formula>
    </cfRule>
  </conditionalFormatting>
  <conditionalFormatting sqref="AF44">
    <cfRule type="cellIs" priority="2553" operator="equal" aboveAverage="0" equalAverage="0" bottom="0" percent="0" rank="0" text="" dxfId="3576">
      <formula>"В"</formula>
    </cfRule>
  </conditionalFormatting>
  <conditionalFormatting sqref="AF44">
    <cfRule type="cellIs" priority="2554" operator="greaterThan" aboveAverage="0" equalAverage="0" bottom="0" percent="0" rank="0" text="" dxfId="3577">
      <formula>0</formula>
    </cfRule>
    <cfRule type="expression" priority="2555" aboveAverage="0" equalAverage="0" bottom="0" percent="0" rank="0" text="" dxfId="3578">
      <formula>AF43&gt;0</formula>
    </cfRule>
  </conditionalFormatting>
  <conditionalFormatting sqref="AF45">
    <cfRule type="cellIs" priority="2556" operator="equal" aboveAverage="0" equalAverage="0" bottom="0" percent="0" rank="0" text="" dxfId="3579">
      <formula>"В"</formula>
    </cfRule>
  </conditionalFormatting>
  <conditionalFormatting sqref="AF45">
    <cfRule type="cellIs" priority="2557" operator="greaterThan" aboveAverage="0" equalAverage="0" bottom="0" percent="0" rank="0" text="" dxfId="3580">
      <formula>0</formula>
    </cfRule>
    <cfRule type="expression" priority="2558" aboveAverage="0" equalAverage="0" bottom="0" percent="0" rank="0" text="" dxfId="3581">
      <formula>AF44&gt;0</formula>
    </cfRule>
  </conditionalFormatting>
  <conditionalFormatting sqref="AF46">
    <cfRule type="cellIs" priority="2559" operator="equal" aboveAverage="0" equalAverage="0" bottom="0" percent="0" rank="0" text="" dxfId="3582">
      <formula>"В"</formula>
    </cfRule>
  </conditionalFormatting>
  <conditionalFormatting sqref="AF46">
    <cfRule type="cellIs" priority="2560" operator="greaterThan" aboveAverage="0" equalAverage="0" bottom="0" percent="0" rank="0" text="" dxfId="3583">
      <formula>0</formula>
    </cfRule>
    <cfRule type="expression" priority="2561" aboveAverage="0" equalAverage="0" bottom="0" percent="0" rank="0" text="" dxfId="3584">
      <formula>AF45&gt;0</formula>
    </cfRule>
  </conditionalFormatting>
  <conditionalFormatting sqref="AF47">
    <cfRule type="cellIs" priority="2562" operator="equal" aboveAverage="0" equalAverage="0" bottom="0" percent="0" rank="0" text="" dxfId="3585">
      <formula>"В"</formula>
    </cfRule>
  </conditionalFormatting>
  <conditionalFormatting sqref="AF47">
    <cfRule type="cellIs" priority="2563" operator="greaterThan" aboveAverage="0" equalAverage="0" bottom="0" percent="0" rank="0" text="" dxfId="3586">
      <formula>0</formula>
    </cfRule>
    <cfRule type="expression" priority="2564" aboveAverage="0" equalAverage="0" bottom="0" percent="0" rank="0" text="" dxfId="3587">
      <formula>AF46&gt;0</formula>
    </cfRule>
  </conditionalFormatting>
  <conditionalFormatting sqref="AF48">
    <cfRule type="cellIs" priority="2565" operator="equal" aboveAverage="0" equalAverage="0" bottom="0" percent="0" rank="0" text="" dxfId="3588">
      <formula>"В"</formula>
    </cfRule>
  </conditionalFormatting>
  <conditionalFormatting sqref="AF48">
    <cfRule type="cellIs" priority="2566" operator="greaterThan" aboveAverage="0" equalAverage="0" bottom="0" percent="0" rank="0" text="" dxfId="3589">
      <formula>0</formula>
    </cfRule>
    <cfRule type="expression" priority="2567" aboveAverage="0" equalAverage="0" bottom="0" percent="0" rank="0" text="" dxfId="3590">
      <formula>AF47&gt;0</formula>
    </cfRule>
  </conditionalFormatting>
  <conditionalFormatting sqref="AF49">
    <cfRule type="cellIs" priority="2568" operator="equal" aboveAverage="0" equalAverage="0" bottom="0" percent="0" rank="0" text="" dxfId="3591">
      <formula>"В"</formula>
    </cfRule>
  </conditionalFormatting>
  <conditionalFormatting sqref="AF49">
    <cfRule type="cellIs" priority="2569" operator="greaterThan" aboveAverage="0" equalAverage="0" bottom="0" percent="0" rank="0" text="" dxfId="3592">
      <formula>0</formula>
    </cfRule>
    <cfRule type="expression" priority="2570" aboveAverage="0" equalAverage="0" bottom="0" percent="0" rank="0" text="" dxfId="3593">
      <formula>AF48&gt;0</formula>
    </cfRule>
  </conditionalFormatting>
  <conditionalFormatting sqref="AG22">
    <cfRule type="cellIs" priority="2571" operator="equal" aboveAverage="0" equalAverage="0" bottom="0" percent="0" rank="0" text="" dxfId="3594">
      <formula>"В"</formula>
    </cfRule>
  </conditionalFormatting>
  <conditionalFormatting sqref="AG22">
    <cfRule type="cellIs" priority="2572" operator="greaterThan" aboveAverage="0" equalAverage="0" bottom="0" percent="0" rank="0" text="" dxfId="3595">
      <formula>0</formula>
    </cfRule>
    <cfRule type="expression" priority="2573" aboveAverage="0" equalAverage="0" bottom="0" percent="0" rank="0" text="" dxfId="3596">
      <formula>AG21&gt;0</formula>
    </cfRule>
  </conditionalFormatting>
  <conditionalFormatting sqref="AG23">
    <cfRule type="cellIs" priority="2574" operator="equal" aboveAverage="0" equalAverage="0" bottom="0" percent="0" rank="0" text="" dxfId="3597">
      <formula>"В"</formula>
    </cfRule>
  </conditionalFormatting>
  <conditionalFormatting sqref="AG23">
    <cfRule type="cellIs" priority="2575" operator="greaterThan" aboveAverage="0" equalAverage="0" bottom="0" percent="0" rank="0" text="" dxfId="3598">
      <formula>0</formula>
    </cfRule>
    <cfRule type="expression" priority="2576" aboveAverage="0" equalAverage="0" bottom="0" percent="0" rank="0" text="" dxfId="3599">
      <formula>AG22&gt;0</formula>
    </cfRule>
  </conditionalFormatting>
  <conditionalFormatting sqref="AG24">
    <cfRule type="cellIs" priority="2577" operator="equal" aboveAverage="0" equalAverage="0" bottom="0" percent="0" rank="0" text="" dxfId="3600">
      <formula>"В"</formula>
    </cfRule>
  </conditionalFormatting>
  <conditionalFormatting sqref="AG24">
    <cfRule type="cellIs" priority="2578" operator="greaterThan" aboveAverage="0" equalAverage="0" bottom="0" percent="0" rank="0" text="" dxfId="3601">
      <formula>0</formula>
    </cfRule>
    <cfRule type="expression" priority="2579" aboveAverage="0" equalAverage="0" bottom="0" percent="0" rank="0" text="" dxfId="3602">
      <formula>AG23&gt;0</formula>
    </cfRule>
  </conditionalFormatting>
  <conditionalFormatting sqref="AG25">
    <cfRule type="cellIs" priority="2580" operator="equal" aboveAverage="0" equalAverage="0" bottom="0" percent="0" rank="0" text="" dxfId="3603">
      <formula>"В"</formula>
    </cfRule>
  </conditionalFormatting>
  <conditionalFormatting sqref="AG25">
    <cfRule type="cellIs" priority="2581" operator="greaterThan" aboveAverage="0" equalAverage="0" bottom="0" percent="0" rank="0" text="" dxfId="3604">
      <formula>0</formula>
    </cfRule>
    <cfRule type="expression" priority="2582" aboveAverage="0" equalAverage="0" bottom="0" percent="0" rank="0" text="" dxfId="3605">
      <formula>AG24&gt;0</formula>
    </cfRule>
  </conditionalFormatting>
  <conditionalFormatting sqref="AG26">
    <cfRule type="cellIs" priority="2583" operator="equal" aboveAverage="0" equalAverage="0" bottom="0" percent="0" rank="0" text="" dxfId="3606">
      <formula>"В"</formula>
    </cfRule>
  </conditionalFormatting>
  <conditionalFormatting sqref="AG26">
    <cfRule type="cellIs" priority="2584" operator="greaterThan" aboveAverage="0" equalAverage="0" bottom="0" percent="0" rank="0" text="" dxfId="3607">
      <formula>0</formula>
    </cfRule>
    <cfRule type="expression" priority="2585" aboveAverage="0" equalAverage="0" bottom="0" percent="0" rank="0" text="" dxfId="3608">
      <formula>AG25&gt;0</formula>
    </cfRule>
  </conditionalFormatting>
  <conditionalFormatting sqref="AG27">
    <cfRule type="cellIs" priority="2586" operator="equal" aboveAverage="0" equalAverage="0" bottom="0" percent="0" rank="0" text="" dxfId="3609">
      <formula>"В"</formula>
    </cfRule>
  </conditionalFormatting>
  <conditionalFormatting sqref="AG27">
    <cfRule type="cellIs" priority="2587" operator="greaterThan" aboveAverage="0" equalAverage="0" bottom="0" percent="0" rank="0" text="" dxfId="3610">
      <formula>0</formula>
    </cfRule>
    <cfRule type="expression" priority="2588" aboveAverage="0" equalAverage="0" bottom="0" percent="0" rank="0" text="" dxfId="3611">
      <formula>AG26&gt;0</formula>
    </cfRule>
  </conditionalFormatting>
  <conditionalFormatting sqref="AG28">
    <cfRule type="cellIs" priority="2589" operator="equal" aboveAverage="0" equalAverage="0" bottom="0" percent="0" rank="0" text="" dxfId="3612">
      <formula>"В"</formula>
    </cfRule>
  </conditionalFormatting>
  <conditionalFormatting sqref="AG28">
    <cfRule type="cellIs" priority="2590" operator="greaterThan" aboveAverage="0" equalAverage="0" bottom="0" percent="0" rank="0" text="" dxfId="3613">
      <formula>0</formula>
    </cfRule>
    <cfRule type="expression" priority="2591" aboveAverage="0" equalAverage="0" bottom="0" percent="0" rank="0" text="" dxfId="3614">
      <formula>AG27&gt;0</formula>
    </cfRule>
  </conditionalFormatting>
  <conditionalFormatting sqref="AG29">
    <cfRule type="cellIs" priority="2592" operator="equal" aboveAverage="0" equalAverage="0" bottom="0" percent="0" rank="0" text="" dxfId="3615">
      <formula>"В"</formula>
    </cfRule>
  </conditionalFormatting>
  <conditionalFormatting sqref="AG29">
    <cfRule type="cellIs" priority="2593" operator="greaterThan" aboveAverage="0" equalAverage="0" bottom="0" percent="0" rank="0" text="" dxfId="3616">
      <formula>0</formula>
    </cfRule>
    <cfRule type="expression" priority="2594" aboveAverage="0" equalAverage="0" bottom="0" percent="0" rank="0" text="" dxfId="3617">
      <formula>AG28&gt;0</formula>
    </cfRule>
  </conditionalFormatting>
  <conditionalFormatting sqref="AG30">
    <cfRule type="cellIs" priority="2595" operator="equal" aboveAverage="0" equalAverage="0" bottom="0" percent="0" rank="0" text="" dxfId="3618">
      <formula>"В"</formula>
    </cfRule>
  </conditionalFormatting>
  <conditionalFormatting sqref="AG30">
    <cfRule type="cellIs" priority="2596" operator="greaterThan" aboveAverage="0" equalAverage="0" bottom="0" percent="0" rank="0" text="" dxfId="3619">
      <formula>0</formula>
    </cfRule>
    <cfRule type="expression" priority="2597" aboveAverage="0" equalAverage="0" bottom="0" percent="0" rank="0" text="" dxfId="3620">
      <formula>AG29&gt;0</formula>
    </cfRule>
  </conditionalFormatting>
  <conditionalFormatting sqref="AG31">
    <cfRule type="cellIs" priority="2598" operator="equal" aboveAverage="0" equalAverage="0" bottom="0" percent="0" rank="0" text="" dxfId="3621">
      <formula>"В"</formula>
    </cfRule>
  </conditionalFormatting>
  <conditionalFormatting sqref="AG31">
    <cfRule type="cellIs" priority="2599" operator="greaterThan" aboveAverage="0" equalAverage="0" bottom="0" percent="0" rank="0" text="" dxfId="3622">
      <formula>0</formula>
    </cfRule>
    <cfRule type="expression" priority="2600" aboveAverage="0" equalAverage="0" bottom="0" percent="0" rank="0" text="" dxfId="3623">
      <formula>AG30&gt;0</formula>
    </cfRule>
  </conditionalFormatting>
  <conditionalFormatting sqref="AG32">
    <cfRule type="cellIs" priority="2601" operator="equal" aboveAverage="0" equalAverage="0" bottom="0" percent="0" rank="0" text="" dxfId="3624">
      <formula>"В"</formula>
    </cfRule>
  </conditionalFormatting>
  <conditionalFormatting sqref="AG32">
    <cfRule type="cellIs" priority="2602" operator="greaterThan" aboveAverage="0" equalAverage="0" bottom="0" percent="0" rank="0" text="" dxfId="3625">
      <formula>0</formula>
    </cfRule>
    <cfRule type="expression" priority="2603" aboveAverage="0" equalAverage="0" bottom="0" percent="0" rank="0" text="" dxfId="3626">
      <formula>AG31&gt;0</formula>
    </cfRule>
  </conditionalFormatting>
  <conditionalFormatting sqref="AG33">
    <cfRule type="cellIs" priority="2604" operator="equal" aboveAverage="0" equalAverage="0" bottom="0" percent="0" rank="0" text="" dxfId="3627">
      <formula>"В"</formula>
    </cfRule>
  </conditionalFormatting>
  <conditionalFormatting sqref="AG33">
    <cfRule type="cellIs" priority="2605" operator="greaterThan" aboveAverage="0" equalAverage="0" bottom="0" percent="0" rank="0" text="" dxfId="3628">
      <formula>0</formula>
    </cfRule>
    <cfRule type="expression" priority="2606" aboveAverage="0" equalAverage="0" bottom="0" percent="0" rank="0" text="" dxfId="3629">
      <formula>AG32&gt;0</formula>
    </cfRule>
  </conditionalFormatting>
  <conditionalFormatting sqref="AG34">
    <cfRule type="cellIs" priority="2607" operator="equal" aboveAverage="0" equalAverage="0" bottom="0" percent="0" rank="0" text="" dxfId="3630">
      <formula>"В"</formula>
    </cfRule>
  </conditionalFormatting>
  <conditionalFormatting sqref="AG34">
    <cfRule type="cellIs" priority="2608" operator="greaterThan" aboveAverage="0" equalAverage="0" bottom="0" percent="0" rank="0" text="" dxfId="3631">
      <formula>0</formula>
    </cfRule>
    <cfRule type="expression" priority="2609" aboveAverage="0" equalAverage="0" bottom="0" percent="0" rank="0" text="" dxfId="3632">
      <formula>AG33&gt;0</formula>
    </cfRule>
  </conditionalFormatting>
  <conditionalFormatting sqref="AG35">
    <cfRule type="cellIs" priority="2610" operator="equal" aboveAverage="0" equalAverage="0" bottom="0" percent="0" rank="0" text="" dxfId="3633">
      <formula>"В"</formula>
    </cfRule>
  </conditionalFormatting>
  <conditionalFormatting sqref="AG35">
    <cfRule type="cellIs" priority="2611" operator="greaterThan" aboveAverage="0" equalAverage="0" bottom="0" percent="0" rank="0" text="" dxfId="3634">
      <formula>0</formula>
    </cfRule>
    <cfRule type="expression" priority="2612" aboveAverage="0" equalAverage="0" bottom="0" percent="0" rank="0" text="" dxfId="3635">
      <formula>AG34&gt;0</formula>
    </cfRule>
  </conditionalFormatting>
  <conditionalFormatting sqref="AG36">
    <cfRule type="cellIs" priority="2613" operator="equal" aboveAverage="0" equalAverage="0" bottom="0" percent="0" rank="0" text="" dxfId="3636">
      <formula>"В"</formula>
    </cfRule>
  </conditionalFormatting>
  <conditionalFormatting sqref="AG36">
    <cfRule type="cellIs" priority="2614" operator="greaterThan" aboveAverage="0" equalAverage="0" bottom="0" percent="0" rank="0" text="" dxfId="3637">
      <formula>0</formula>
    </cfRule>
    <cfRule type="expression" priority="2615" aboveAverage="0" equalAverage="0" bottom="0" percent="0" rank="0" text="" dxfId="3638">
      <formula>AG35&gt;0</formula>
    </cfRule>
  </conditionalFormatting>
  <conditionalFormatting sqref="AG37">
    <cfRule type="cellIs" priority="2616" operator="equal" aboveAverage="0" equalAverage="0" bottom="0" percent="0" rank="0" text="" dxfId="3639">
      <formula>"В"</formula>
    </cfRule>
  </conditionalFormatting>
  <conditionalFormatting sqref="AG37">
    <cfRule type="cellIs" priority="2617" operator="greaterThan" aboveAverage="0" equalAverage="0" bottom="0" percent="0" rank="0" text="" dxfId="3640">
      <formula>0</formula>
    </cfRule>
    <cfRule type="expression" priority="2618" aboveAverage="0" equalAverage="0" bottom="0" percent="0" rank="0" text="" dxfId="3641">
      <formula>AG36&gt;0</formula>
    </cfRule>
  </conditionalFormatting>
  <conditionalFormatting sqref="AG38">
    <cfRule type="cellIs" priority="2619" operator="equal" aboveAverage="0" equalAverage="0" bottom="0" percent="0" rank="0" text="" dxfId="3642">
      <formula>"В"</formula>
    </cfRule>
  </conditionalFormatting>
  <conditionalFormatting sqref="AG38">
    <cfRule type="cellIs" priority="2620" operator="greaterThan" aboveAverage="0" equalAverage="0" bottom="0" percent="0" rank="0" text="" dxfId="3643">
      <formula>0</formula>
    </cfRule>
    <cfRule type="expression" priority="2621" aboveAverage="0" equalAverage="0" bottom="0" percent="0" rank="0" text="" dxfId="3644">
      <formula>AG37&gt;0</formula>
    </cfRule>
  </conditionalFormatting>
  <conditionalFormatting sqref="AG39">
    <cfRule type="cellIs" priority="2622" operator="equal" aboveAverage="0" equalAverage="0" bottom="0" percent="0" rank="0" text="" dxfId="3645">
      <formula>"В"</formula>
    </cfRule>
  </conditionalFormatting>
  <conditionalFormatting sqref="AG39">
    <cfRule type="cellIs" priority="2623" operator="greaterThan" aboveAverage="0" equalAverage="0" bottom="0" percent="0" rank="0" text="" dxfId="3646">
      <formula>0</formula>
    </cfRule>
    <cfRule type="expression" priority="2624" aboveAverage="0" equalAverage="0" bottom="0" percent="0" rank="0" text="" dxfId="3647">
      <formula>AG38&gt;0</formula>
    </cfRule>
  </conditionalFormatting>
  <conditionalFormatting sqref="AG40">
    <cfRule type="cellIs" priority="2625" operator="equal" aboveAverage="0" equalAverage="0" bottom="0" percent="0" rank="0" text="" dxfId="3648">
      <formula>"В"</formula>
    </cfRule>
  </conditionalFormatting>
  <conditionalFormatting sqref="AG40">
    <cfRule type="cellIs" priority="2626" operator="greaterThan" aboveAverage="0" equalAverage="0" bottom="0" percent="0" rank="0" text="" dxfId="3649">
      <formula>0</formula>
    </cfRule>
    <cfRule type="expression" priority="2627" aboveAverage="0" equalAverage="0" bottom="0" percent="0" rank="0" text="" dxfId="3650">
      <formula>AG39&gt;0</formula>
    </cfRule>
  </conditionalFormatting>
  <conditionalFormatting sqref="AG41">
    <cfRule type="cellIs" priority="2628" operator="equal" aboveAverage="0" equalAverage="0" bottom="0" percent="0" rank="0" text="" dxfId="3651">
      <formula>"В"</formula>
    </cfRule>
  </conditionalFormatting>
  <conditionalFormatting sqref="AG41">
    <cfRule type="cellIs" priority="2629" operator="greaterThan" aboveAverage="0" equalAverage="0" bottom="0" percent="0" rank="0" text="" dxfId="3652">
      <formula>0</formula>
    </cfRule>
    <cfRule type="expression" priority="2630" aboveAverage="0" equalAverage="0" bottom="0" percent="0" rank="0" text="" dxfId="3653">
      <formula>AG40&gt;0</formula>
    </cfRule>
  </conditionalFormatting>
  <conditionalFormatting sqref="AG42">
    <cfRule type="cellIs" priority="2631" operator="equal" aboveAverage="0" equalAverage="0" bottom="0" percent="0" rank="0" text="" dxfId="3654">
      <formula>"В"</formula>
    </cfRule>
  </conditionalFormatting>
  <conditionalFormatting sqref="AG42">
    <cfRule type="cellIs" priority="2632" operator="greaterThan" aboveAverage="0" equalAverage="0" bottom="0" percent="0" rank="0" text="" dxfId="3655">
      <formula>0</formula>
    </cfRule>
    <cfRule type="expression" priority="2633" aboveAverage="0" equalAverage="0" bottom="0" percent="0" rank="0" text="" dxfId="3656">
      <formula>AG41&gt;0</formula>
    </cfRule>
  </conditionalFormatting>
  <conditionalFormatting sqref="AG43">
    <cfRule type="cellIs" priority="2634" operator="equal" aboveAverage="0" equalAverage="0" bottom="0" percent="0" rank="0" text="" dxfId="3657">
      <formula>"В"</formula>
    </cfRule>
  </conditionalFormatting>
  <conditionalFormatting sqref="AG43">
    <cfRule type="cellIs" priority="2635" operator="greaterThan" aboveAverage="0" equalAverage="0" bottom="0" percent="0" rank="0" text="" dxfId="3658">
      <formula>0</formula>
    </cfRule>
    <cfRule type="expression" priority="2636" aboveAverage="0" equalAverage="0" bottom="0" percent="0" rank="0" text="" dxfId="3659">
      <formula>AG42&gt;0</formula>
    </cfRule>
  </conditionalFormatting>
  <conditionalFormatting sqref="AG44">
    <cfRule type="cellIs" priority="2637" operator="equal" aboveAverage="0" equalAverage="0" bottom="0" percent="0" rank="0" text="" dxfId="3660">
      <formula>"В"</formula>
    </cfRule>
  </conditionalFormatting>
  <conditionalFormatting sqref="AG44">
    <cfRule type="cellIs" priority="2638" operator="greaterThan" aboveAverage="0" equalAverage="0" bottom="0" percent="0" rank="0" text="" dxfId="3661">
      <formula>0</formula>
    </cfRule>
    <cfRule type="expression" priority="2639" aboveAverage="0" equalAverage="0" bottom="0" percent="0" rank="0" text="" dxfId="3662">
      <formula>AG43&gt;0</formula>
    </cfRule>
  </conditionalFormatting>
  <conditionalFormatting sqref="AG45">
    <cfRule type="cellIs" priority="2640" operator="equal" aboveAverage="0" equalAverage="0" bottom="0" percent="0" rank="0" text="" dxfId="3663">
      <formula>"В"</formula>
    </cfRule>
  </conditionalFormatting>
  <conditionalFormatting sqref="AG45">
    <cfRule type="cellIs" priority="2641" operator="greaterThan" aboveAverage="0" equalAverage="0" bottom="0" percent="0" rank="0" text="" dxfId="3664">
      <formula>0</formula>
    </cfRule>
    <cfRule type="expression" priority="2642" aboveAverage="0" equalAverage="0" bottom="0" percent="0" rank="0" text="" dxfId="3665">
      <formula>AG44&gt;0</formula>
    </cfRule>
  </conditionalFormatting>
  <conditionalFormatting sqref="AG46">
    <cfRule type="cellIs" priority="2643" operator="equal" aboveAverage="0" equalAverage="0" bottom="0" percent="0" rank="0" text="" dxfId="3666">
      <formula>"В"</formula>
    </cfRule>
  </conditionalFormatting>
  <conditionalFormatting sqref="AG46">
    <cfRule type="cellIs" priority="2644" operator="greaterThan" aboveAverage="0" equalAverage="0" bottom="0" percent="0" rank="0" text="" dxfId="3667">
      <formula>0</formula>
    </cfRule>
    <cfRule type="expression" priority="2645" aboveAverage="0" equalAverage="0" bottom="0" percent="0" rank="0" text="" dxfId="3668">
      <formula>AG45&gt;0</formula>
    </cfRule>
  </conditionalFormatting>
  <conditionalFormatting sqref="AG47">
    <cfRule type="cellIs" priority="2646" operator="equal" aboveAverage="0" equalAverage="0" bottom="0" percent="0" rank="0" text="" dxfId="3669">
      <formula>"В"</formula>
    </cfRule>
  </conditionalFormatting>
  <conditionalFormatting sqref="AG47">
    <cfRule type="cellIs" priority="2647" operator="greaterThan" aboveAverage="0" equalAverage="0" bottom="0" percent="0" rank="0" text="" dxfId="3670">
      <formula>0</formula>
    </cfRule>
    <cfRule type="expression" priority="2648" aboveAverage="0" equalAverage="0" bottom="0" percent="0" rank="0" text="" dxfId="3671">
      <formula>AG46&gt;0</formula>
    </cfRule>
  </conditionalFormatting>
  <conditionalFormatting sqref="AG48">
    <cfRule type="cellIs" priority="2649" operator="equal" aboveAverage="0" equalAverage="0" bottom="0" percent="0" rank="0" text="" dxfId="3672">
      <formula>"В"</formula>
    </cfRule>
  </conditionalFormatting>
  <conditionalFormatting sqref="AG48">
    <cfRule type="cellIs" priority="2650" operator="greaterThan" aboveAverage="0" equalAverage="0" bottom="0" percent="0" rank="0" text="" dxfId="3673">
      <formula>0</formula>
    </cfRule>
    <cfRule type="expression" priority="2651" aboveAverage="0" equalAverage="0" bottom="0" percent="0" rank="0" text="" dxfId="3674">
      <formula>AG47&gt;0</formula>
    </cfRule>
  </conditionalFormatting>
  <conditionalFormatting sqref="AG49">
    <cfRule type="cellIs" priority="2652" operator="equal" aboveAverage="0" equalAverage="0" bottom="0" percent="0" rank="0" text="" dxfId="3675">
      <formula>"В"</formula>
    </cfRule>
  </conditionalFormatting>
  <conditionalFormatting sqref="AG49">
    <cfRule type="cellIs" priority="2653" operator="greaterThan" aboveAverage="0" equalAverage="0" bottom="0" percent="0" rank="0" text="" dxfId="3676">
      <formula>0</formula>
    </cfRule>
    <cfRule type="expression" priority="2654" aboveAverage="0" equalAverage="0" bottom="0" percent="0" rank="0" text="" dxfId="3677">
      <formula>AG48&gt;0</formula>
    </cfRule>
  </conditionalFormatting>
  <conditionalFormatting sqref="D48">
    <cfRule type="cellIs" priority="2655" operator="greaterThan" aboveAverage="0" equalAverage="0" bottom="0" percent="0" rank="0" text="" dxfId="3678">
      <formula>0</formula>
    </cfRule>
    <cfRule type="expression" priority="2656" aboveAverage="0" equalAverage="0" bottom="0" percent="0" rank="0" text="" dxfId="3679">
      <formula>D47&gt;0</formula>
    </cfRule>
  </conditionalFormatting>
  <conditionalFormatting sqref="D22">
    <cfRule type="cellIs" priority="2657" operator="equal" aboveAverage="0" equalAverage="0" bottom="0" percent="0" rank="0" text="" dxfId="3680">
      <formula>"В"</formula>
    </cfRule>
  </conditionalFormatting>
  <conditionalFormatting sqref="D22">
    <cfRule type="cellIs" priority="2658" operator="greaterThan" aboveAverage="0" equalAverage="0" bottom="0" percent="0" rank="0" text="" dxfId="3681">
      <formula>0</formula>
    </cfRule>
    <cfRule type="expression" priority="2659" aboveAverage="0" equalAverage="0" bottom="0" percent="0" rank="0" text="" dxfId="3682">
      <formula>D21&gt;0</formula>
    </cfRule>
  </conditionalFormatting>
  <conditionalFormatting sqref="D23">
    <cfRule type="cellIs" priority="2660" operator="equal" aboveAverage="0" equalAverage="0" bottom="0" percent="0" rank="0" text="" dxfId="3683">
      <formula>"В"</formula>
    </cfRule>
  </conditionalFormatting>
  <conditionalFormatting sqref="D23">
    <cfRule type="cellIs" priority="2661" operator="greaterThan" aboveAverage="0" equalAverage="0" bottom="0" percent="0" rank="0" text="" dxfId="3684">
      <formula>0</formula>
    </cfRule>
    <cfRule type="expression" priority="2662" aboveAverage="0" equalAverage="0" bottom="0" percent="0" rank="0" text="" dxfId="3685">
      <formula>D22&gt;0</formula>
    </cfRule>
  </conditionalFormatting>
  <conditionalFormatting sqref="D24">
    <cfRule type="cellIs" priority="2663" operator="equal" aboveAverage="0" equalAverage="0" bottom="0" percent="0" rank="0" text="" dxfId="3686">
      <formula>"В"</formula>
    </cfRule>
  </conditionalFormatting>
  <conditionalFormatting sqref="D24">
    <cfRule type="cellIs" priority="2664" operator="greaterThan" aboveAverage="0" equalAverage="0" bottom="0" percent="0" rank="0" text="" dxfId="3687">
      <formula>0</formula>
    </cfRule>
    <cfRule type="expression" priority="2665" aboveAverage="0" equalAverage="0" bottom="0" percent="0" rank="0" text="" dxfId="3688">
      <formula>D23&gt;0</formula>
    </cfRule>
  </conditionalFormatting>
  <conditionalFormatting sqref="D25">
    <cfRule type="cellIs" priority="2666" operator="equal" aboveAverage="0" equalAverage="0" bottom="0" percent="0" rank="0" text="" dxfId="3689">
      <formula>"В"</formula>
    </cfRule>
  </conditionalFormatting>
  <conditionalFormatting sqref="D25">
    <cfRule type="cellIs" priority="2667" operator="greaterThan" aboveAverage="0" equalAverage="0" bottom="0" percent="0" rank="0" text="" dxfId="3690">
      <formula>0</formula>
    </cfRule>
    <cfRule type="expression" priority="2668" aboveAverage="0" equalAverage="0" bottom="0" percent="0" rank="0" text="" dxfId="3691">
      <formula>D24&gt;0</formula>
    </cfRule>
  </conditionalFormatting>
  <conditionalFormatting sqref="D26">
    <cfRule type="cellIs" priority="2669" operator="equal" aboveAverage="0" equalAverage="0" bottom="0" percent="0" rank="0" text="" dxfId="3692">
      <formula>"В"</formula>
    </cfRule>
  </conditionalFormatting>
  <conditionalFormatting sqref="D26">
    <cfRule type="cellIs" priority="2670" operator="greaterThan" aboveAverage="0" equalAverage="0" bottom="0" percent="0" rank="0" text="" dxfId="3693">
      <formula>0</formula>
    </cfRule>
    <cfRule type="expression" priority="2671" aboveAverage="0" equalAverage="0" bottom="0" percent="0" rank="0" text="" dxfId="3694">
      <formula>D25&gt;0</formula>
    </cfRule>
  </conditionalFormatting>
  <conditionalFormatting sqref="D27">
    <cfRule type="cellIs" priority="2672" operator="equal" aboveAverage="0" equalAverage="0" bottom="0" percent="0" rank="0" text="" dxfId="3695">
      <formula>"В"</formula>
    </cfRule>
  </conditionalFormatting>
  <conditionalFormatting sqref="D27">
    <cfRule type="cellIs" priority="2673" operator="greaterThan" aboveAverage="0" equalAverage="0" bottom="0" percent="0" rank="0" text="" dxfId="3696">
      <formula>0</formula>
    </cfRule>
    <cfRule type="expression" priority="2674" aboveAverage="0" equalAverage="0" bottom="0" percent="0" rank="0" text="" dxfId="3697">
      <formula>D26&gt;0</formula>
    </cfRule>
  </conditionalFormatting>
  <conditionalFormatting sqref="D28">
    <cfRule type="cellIs" priority="2675" operator="equal" aboveAverage="0" equalAverage="0" bottom="0" percent="0" rank="0" text="" dxfId="3698">
      <formula>"В"</formula>
    </cfRule>
  </conditionalFormatting>
  <conditionalFormatting sqref="D28">
    <cfRule type="cellIs" priority="2676" operator="greaterThan" aboveAverage="0" equalAverage="0" bottom="0" percent="0" rank="0" text="" dxfId="3699">
      <formula>0</formula>
    </cfRule>
    <cfRule type="expression" priority="2677" aboveAverage="0" equalAverage="0" bottom="0" percent="0" rank="0" text="" dxfId="3700">
      <formula>D27&gt;0</formula>
    </cfRule>
  </conditionalFormatting>
  <conditionalFormatting sqref="D29">
    <cfRule type="cellIs" priority="2678" operator="equal" aboveAverage="0" equalAverage="0" bottom="0" percent="0" rank="0" text="" dxfId="3701">
      <formula>"В"</formula>
    </cfRule>
  </conditionalFormatting>
  <conditionalFormatting sqref="D29">
    <cfRule type="cellIs" priority="2679" operator="greaterThan" aboveAverage="0" equalAverage="0" bottom="0" percent="0" rank="0" text="" dxfId="3702">
      <formula>0</formula>
    </cfRule>
    <cfRule type="expression" priority="2680" aboveAverage="0" equalAverage="0" bottom="0" percent="0" rank="0" text="" dxfId="3703">
      <formula>D28&gt;0</formula>
    </cfRule>
  </conditionalFormatting>
  <conditionalFormatting sqref="D30">
    <cfRule type="cellIs" priority="2681" operator="equal" aboveAverage="0" equalAverage="0" bottom="0" percent="0" rank="0" text="" dxfId="3704">
      <formula>"В"</formula>
    </cfRule>
  </conditionalFormatting>
  <conditionalFormatting sqref="D30">
    <cfRule type="cellIs" priority="2682" operator="greaterThan" aboveAverage="0" equalAverage="0" bottom="0" percent="0" rank="0" text="" dxfId="3705">
      <formula>0</formula>
    </cfRule>
    <cfRule type="expression" priority="2683" aboveAverage="0" equalAverage="0" bottom="0" percent="0" rank="0" text="" dxfId="3706">
      <formula>D29&gt;0</formula>
    </cfRule>
  </conditionalFormatting>
  <conditionalFormatting sqref="D31">
    <cfRule type="cellIs" priority="2684" operator="equal" aboveAverage="0" equalAverage="0" bottom="0" percent="0" rank="0" text="" dxfId="3707">
      <formula>"В"</formula>
    </cfRule>
  </conditionalFormatting>
  <conditionalFormatting sqref="D31">
    <cfRule type="cellIs" priority="2685" operator="greaterThan" aboveAverage="0" equalAverage="0" bottom="0" percent="0" rank="0" text="" dxfId="3708">
      <formula>0</formula>
    </cfRule>
    <cfRule type="expression" priority="2686" aboveAverage="0" equalAverage="0" bottom="0" percent="0" rank="0" text="" dxfId="3709">
      <formula>D30&gt;0</formula>
    </cfRule>
  </conditionalFormatting>
  <conditionalFormatting sqref="D32">
    <cfRule type="cellIs" priority="2687" operator="equal" aboveAverage="0" equalAverage="0" bottom="0" percent="0" rank="0" text="" dxfId="3710">
      <formula>"В"</formula>
    </cfRule>
  </conditionalFormatting>
  <conditionalFormatting sqref="D32">
    <cfRule type="cellIs" priority="2688" operator="greaterThan" aboveAverage="0" equalAverage="0" bottom="0" percent="0" rank="0" text="" dxfId="3711">
      <formula>0</formula>
    </cfRule>
    <cfRule type="expression" priority="2689" aboveAverage="0" equalAverage="0" bottom="0" percent="0" rank="0" text="" dxfId="3712">
      <formula>D31&gt;0</formula>
    </cfRule>
  </conditionalFormatting>
  <conditionalFormatting sqref="D33">
    <cfRule type="cellIs" priority="2690" operator="equal" aboveAverage="0" equalAverage="0" bottom="0" percent="0" rank="0" text="" dxfId="3713">
      <formula>"В"</formula>
    </cfRule>
  </conditionalFormatting>
  <conditionalFormatting sqref="D33">
    <cfRule type="cellIs" priority="2691" operator="greaterThan" aboveAverage="0" equalAverage="0" bottom="0" percent="0" rank="0" text="" dxfId="3714">
      <formula>0</formula>
    </cfRule>
    <cfRule type="expression" priority="2692" aboveAverage="0" equalAverage="0" bottom="0" percent="0" rank="0" text="" dxfId="3715">
      <formula>D32&gt;0</formula>
    </cfRule>
  </conditionalFormatting>
  <conditionalFormatting sqref="D34">
    <cfRule type="cellIs" priority="2693" operator="equal" aboveAverage="0" equalAverage="0" bottom="0" percent="0" rank="0" text="" dxfId="3716">
      <formula>"В"</formula>
    </cfRule>
  </conditionalFormatting>
  <conditionalFormatting sqref="D34">
    <cfRule type="cellIs" priority="2694" operator="greaterThan" aboveAverage="0" equalAverage="0" bottom="0" percent="0" rank="0" text="" dxfId="3717">
      <formula>0</formula>
    </cfRule>
    <cfRule type="expression" priority="2695" aboveAverage="0" equalAverage="0" bottom="0" percent="0" rank="0" text="" dxfId="3718">
      <formula>D33&gt;0</formula>
    </cfRule>
  </conditionalFormatting>
  <conditionalFormatting sqref="D35">
    <cfRule type="cellIs" priority="2696" operator="equal" aboveAverage="0" equalAverage="0" bottom="0" percent="0" rank="0" text="" dxfId="3719">
      <formula>"В"</formula>
    </cfRule>
  </conditionalFormatting>
  <conditionalFormatting sqref="D35">
    <cfRule type="cellIs" priority="2697" operator="greaterThan" aboveAverage="0" equalAverage="0" bottom="0" percent="0" rank="0" text="" dxfId="3720">
      <formula>0</formula>
    </cfRule>
    <cfRule type="expression" priority="2698" aboveAverage="0" equalAverage="0" bottom="0" percent="0" rank="0" text="" dxfId="3721">
      <formula>D34&gt;0</formula>
    </cfRule>
  </conditionalFormatting>
  <conditionalFormatting sqref="D36">
    <cfRule type="cellIs" priority="2699" operator="equal" aboveAverage="0" equalAverage="0" bottom="0" percent="0" rank="0" text="" dxfId="3722">
      <formula>"В"</formula>
    </cfRule>
  </conditionalFormatting>
  <conditionalFormatting sqref="D36">
    <cfRule type="cellIs" priority="2700" operator="greaterThan" aboveAverage="0" equalAverage="0" bottom="0" percent="0" rank="0" text="" dxfId="3723">
      <formula>0</formula>
    </cfRule>
    <cfRule type="expression" priority="2701" aboveAverage="0" equalAverage="0" bottom="0" percent="0" rank="0" text="" dxfId="3724">
      <formula>D35&gt;0</formula>
    </cfRule>
  </conditionalFormatting>
  <conditionalFormatting sqref="D37">
    <cfRule type="cellIs" priority="2702" operator="equal" aboveAverage="0" equalAverage="0" bottom="0" percent="0" rank="0" text="" dxfId="3725">
      <formula>"В"</formula>
    </cfRule>
  </conditionalFormatting>
  <conditionalFormatting sqref="D37">
    <cfRule type="cellIs" priority="2703" operator="greaterThan" aboveAverage="0" equalAverage="0" bottom="0" percent="0" rank="0" text="" dxfId="3726">
      <formula>0</formula>
    </cfRule>
    <cfRule type="expression" priority="2704" aboveAverage="0" equalAverage="0" bottom="0" percent="0" rank="0" text="" dxfId="3727">
      <formula>D36&gt;0</formula>
    </cfRule>
  </conditionalFormatting>
  <conditionalFormatting sqref="D38">
    <cfRule type="cellIs" priority="2705" operator="equal" aboveAverage="0" equalAverage="0" bottom="0" percent="0" rank="0" text="" dxfId="3728">
      <formula>"В"</formula>
    </cfRule>
  </conditionalFormatting>
  <conditionalFormatting sqref="D38">
    <cfRule type="cellIs" priority="2706" operator="greaterThan" aboveAverage="0" equalAverage="0" bottom="0" percent="0" rank="0" text="" dxfId="3729">
      <formula>0</formula>
    </cfRule>
    <cfRule type="expression" priority="2707" aboveAverage="0" equalAverage="0" bottom="0" percent="0" rank="0" text="" dxfId="3730">
      <formula>D37&gt;0</formula>
    </cfRule>
  </conditionalFormatting>
  <conditionalFormatting sqref="D39">
    <cfRule type="cellIs" priority="2708" operator="equal" aboveAverage="0" equalAverage="0" bottom="0" percent="0" rank="0" text="" dxfId="3731">
      <formula>"В"</formula>
    </cfRule>
  </conditionalFormatting>
  <conditionalFormatting sqref="D39">
    <cfRule type="cellIs" priority="2709" operator="greaterThan" aboveAverage="0" equalAverage="0" bottom="0" percent="0" rank="0" text="" dxfId="3732">
      <formula>0</formula>
    </cfRule>
    <cfRule type="expression" priority="2710" aboveAverage="0" equalAverage="0" bottom="0" percent="0" rank="0" text="" dxfId="3733">
      <formula>D38&gt;0</formula>
    </cfRule>
  </conditionalFormatting>
  <conditionalFormatting sqref="D40">
    <cfRule type="cellIs" priority="2711" operator="equal" aboveAverage="0" equalAverage="0" bottom="0" percent="0" rank="0" text="" dxfId="3734">
      <formula>"В"</formula>
    </cfRule>
  </conditionalFormatting>
  <conditionalFormatting sqref="D40">
    <cfRule type="cellIs" priority="2712" operator="greaterThan" aboveAverage="0" equalAverage="0" bottom="0" percent="0" rank="0" text="" dxfId="3735">
      <formula>0</formula>
    </cfRule>
    <cfRule type="expression" priority="2713" aboveAverage="0" equalAverage="0" bottom="0" percent="0" rank="0" text="" dxfId="3736">
      <formula>D39&gt;0</formula>
    </cfRule>
  </conditionalFormatting>
  <conditionalFormatting sqref="D41">
    <cfRule type="cellIs" priority="2714" operator="equal" aboveAverage="0" equalAverage="0" bottom="0" percent="0" rank="0" text="" dxfId="3737">
      <formula>"В"</formula>
    </cfRule>
  </conditionalFormatting>
  <conditionalFormatting sqref="D41">
    <cfRule type="cellIs" priority="2715" operator="greaterThan" aboveAverage="0" equalAverage="0" bottom="0" percent="0" rank="0" text="" dxfId="3738">
      <formula>0</formula>
    </cfRule>
    <cfRule type="expression" priority="2716" aboveAverage="0" equalAverage="0" bottom="0" percent="0" rank="0" text="" dxfId="3739">
      <formula>D40&gt;0</formula>
    </cfRule>
  </conditionalFormatting>
  <conditionalFormatting sqref="D42">
    <cfRule type="cellIs" priority="2717" operator="equal" aboveAverage="0" equalAverage="0" bottom="0" percent="0" rank="0" text="" dxfId="3740">
      <formula>"В"</formula>
    </cfRule>
  </conditionalFormatting>
  <conditionalFormatting sqref="D42">
    <cfRule type="cellIs" priority="2718" operator="greaterThan" aboveAverage="0" equalAverage="0" bottom="0" percent="0" rank="0" text="" dxfId="3741">
      <formula>0</formula>
    </cfRule>
    <cfRule type="expression" priority="2719" aboveAverage="0" equalAverage="0" bottom="0" percent="0" rank="0" text="" dxfId="3742">
      <formula>D41&gt;0</formula>
    </cfRule>
  </conditionalFormatting>
  <conditionalFormatting sqref="D43">
    <cfRule type="cellIs" priority="2720" operator="equal" aboveAverage="0" equalAverage="0" bottom="0" percent="0" rank="0" text="" dxfId="3743">
      <formula>"В"</formula>
    </cfRule>
  </conditionalFormatting>
  <conditionalFormatting sqref="D43">
    <cfRule type="cellIs" priority="2721" operator="greaterThan" aboveAverage="0" equalAverage="0" bottom="0" percent="0" rank="0" text="" dxfId="3744">
      <formula>0</formula>
    </cfRule>
    <cfRule type="expression" priority="2722" aboveAverage="0" equalAverage="0" bottom="0" percent="0" rank="0" text="" dxfId="3745">
      <formula>D42&gt;0</formula>
    </cfRule>
  </conditionalFormatting>
  <conditionalFormatting sqref="D44">
    <cfRule type="cellIs" priority="2723" operator="equal" aboveAverage="0" equalAverage="0" bottom="0" percent="0" rank="0" text="" dxfId="3746">
      <formula>"В"</formula>
    </cfRule>
  </conditionalFormatting>
  <conditionalFormatting sqref="D44">
    <cfRule type="cellIs" priority="2724" operator="greaterThan" aboveAverage="0" equalAverage="0" bottom="0" percent="0" rank="0" text="" dxfId="3747">
      <formula>0</formula>
    </cfRule>
    <cfRule type="expression" priority="2725" aboveAverage="0" equalAverage="0" bottom="0" percent="0" rank="0" text="" dxfId="3748">
      <formula>D43&gt;0</formula>
    </cfRule>
  </conditionalFormatting>
  <conditionalFormatting sqref="D45">
    <cfRule type="cellIs" priority="2726" operator="equal" aboveAverage="0" equalAverage="0" bottom="0" percent="0" rank="0" text="" dxfId="3749">
      <formula>"В"</formula>
    </cfRule>
  </conditionalFormatting>
  <conditionalFormatting sqref="D45">
    <cfRule type="cellIs" priority="2727" operator="greaterThan" aboveAverage="0" equalAverage="0" bottom="0" percent="0" rank="0" text="" dxfId="3750">
      <formula>0</formula>
    </cfRule>
    <cfRule type="expression" priority="2728" aboveAverage="0" equalAverage="0" bottom="0" percent="0" rank="0" text="" dxfId="3751">
      <formula>D44&gt;0</formula>
    </cfRule>
  </conditionalFormatting>
  <conditionalFormatting sqref="D46">
    <cfRule type="cellIs" priority="2729" operator="equal" aboveAverage="0" equalAverage="0" bottom="0" percent="0" rank="0" text="" dxfId="3752">
      <formula>"В"</formula>
    </cfRule>
  </conditionalFormatting>
  <conditionalFormatting sqref="D46">
    <cfRule type="cellIs" priority="2730" operator="greaterThan" aboveAverage="0" equalAverage="0" bottom="0" percent="0" rank="0" text="" dxfId="3753">
      <formula>0</formula>
    </cfRule>
    <cfRule type="expression" priority="2731" aboveAverage="0" equalAverage="0" bottom="0" percent="0" rank="0" text="" dxfId="3754">
      <formula>D45&gt;0</formula>
    </cfRule>
  </conditionalFormatting>
  <conditionalFormatting sqref="D47">
    <cfRule type="cellIs" priority="2732" operator="equal" aboveAverage="0" equalAverage="0" bottom="0" percent="0" rank="0" text="" dxfId="3755">
      <formula>"В"</formula>
    </cfRule>
  </conditionalFormatting>
  <conditionalFormatting sqref="D47">
    <cfRule type="cellIs" priority="2733" operator="greaterThan" aboveAverage="0" equalAverage="0" bottom="0" percent="0" rank="0" text="" dxfId="3756">
      <formula>0</formula>
    </cfRule>
    <cfRule type="expression" priority="2734" aboveAverage="0" equalAverage="0" bottom="0" percent="0" rank="0" text="" dxfId="3757">
      <formula>D46&gt;0</formula>
    </cfRule>
  </conditionalFormatting>
  <conditionalFormatting sqref="D48">
    <cfRule type="cellIs" priority="2735" operator="equal" aboveAverage="0" equalAverage="0" bottom="0" percent="0" rank="0" text="" dxfId="3758">
      <formula>"В"</formula>
    </cfRule>
  </conditionalFormatting>
  <conditionalFormatting sqref="D49">
    <cfRule type="cellIs" priority="2736" operator="equal" aboveAverage="0" equalAverage="0" bottom="0" percent="0" rank="0" text="" dxfId="3759">
      <formula>"В"</formula>
    </cfRule>
  </conditionalFormatting>
  <conditionalFormatting sqref="D49">
    <cfRule type="cellIs" priority="2737" operator="greaterThan" aboveAverage="0" equalAverage="0" bottom="0" percent="0" rank="0" text="" dxfId="3760">
      <formula>0</formula>
    </cfRule>
    <cfRule type="expression" priority="2738" aboveAverage="0" equalAverage="0" bottom="0" percent="0" rank="0" text="" dxfId="3761">
      <formula>D48&gt;0</formula>
    </cfRule>
  </conditionalFormatting>
  <printOptions headings="false" gridLines="false" gridLinesSet="true" horizontalCentered="tru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H35"/>
  <sheetViews>
    <sheetView showFormulas="false" showGridLines="true" showRowColHeaders="true" showZeros="fals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9.14453125" defaultRowHeight="13.8" zeroHeight="tru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31.43"/>
    <col collapsed="false" customWidth="true" hidden="false" outlineLevel="0" max="4" min="3" style="0" width="40.71"/>
    <col collapsed="false" customWidth="true" hidden="false" outlineLevel="0" max="5" min="5" style="0" width="21.43"/>
    <col collapsed="false" customWidth="true" hidden="false" outlineLevel="0" max="6" min="6" style="0" width="1.71"/>
    <col collapsed="false" customWidth="true" hidden="false" outlineLevel="0" max="7" min="7" style="545" width="3.43"/>
    <col collapsed="false" customWidth="true" hidden="false" outlineLevel="0" max="8" min="8" style="545" width="85.43"/>
    <col collapsed="false" customWidth="true" hidden="false" outlineLevel="0" max="9" min="9" style="545" width="1.71"/>
    <col collapsed="false" customWidth="false" hidden="true" outlineLevel="0" max="64" min="10" style="545" width="9.14"/>
    <col collapsed="false" customWidth="false" hidden="true" outlineLevel="0" max="1024" min="65" style="0" width="9.14"/>
  </cols>
  <sheetData>
    <row r="1" customFormat="false" ht="39" hidden="false" customHeight="true" outlineLevel="0" collapsed="false">
      <c r="A1" s="422"/>
      <c r="B1" s="546" t="s">
        <v>358</v>
      </c>
      <c r="C1" s="546"/>
      <c r="D1" s="546"/>
      <c r="E1" s="546"/>
      <c r="F1" s="422"/>
      <c r="G1" s="547" t="s">
        <v>359</v>
      </c>
      <c r="H1" s="547"/>
    </row>
    <row r="2" customFormat="false" ht="13.8" hidden="false" customHeight="false" outlineLevel="0" collapsed="false">
      <c r="A2" s="422"/>
      <c r="B2" s="422"/>
      <c r="C2" s="422"/>
      <c r="D2" s="422"/>
      <c r="E2" s="422"/>
      <c r="F2" s="422"/>
    </row>
    <row r="3" customFormat="false" ht="13.8" hidden="false" customHeight="true" outlineLevel="0" collapsed="false">
      <c r="A3" s="422"/>
      <c r="B3" s="548" t="s">
        <v>360</v>
      </c>
      <c r="C3" s="549" t="s">
        <v>361</v>
      </c>
      <c r="D3" s="550" t="s">
        <v>362</v>
      </c>
      <c r="E3" s="134" t="s">
        <v>363</v>
      </c>
      <c r="F3" s="422"/>
      <c r="G3" s="551" t="s">
        <v>3</v>
      </c>
      <c r="H3" s="551" t="s">
        <v>364</v>
      </c>
    </row>
    <row r="4" customFormat="false" ht="13.8" hidden="false" customHeight="false" outlineLevel="0" collapsed="false">
      <c r="A4" s="422"/>
      <c r="B4" s="548"/>
      <c r="C4" s="549"/>
      <c r="D4" s="550"/>
      <c r="E4" s="134"/>
      <c r="F4" s="422"/>
      <c r="G4" s="551" t="s">
        <v>11</v>
      </c>
      <c r="H4" s="551" t="s">
        <v>365</v>
      </c>
    </row>
    <row r="5" customFormat="false" ht="13.8" hidden="false" customHeight="true" outlineLevel="0" collapsed="false">
      <c r="A5" s="422"/>
      <c r="B5" s="552" t="s">
        <v>366</v>
      </c>
      <c r="C5" s="553" t="s">
        <v>367</v>
      </c>
      <c r="D5" s="554" t="s">
        <v>368</v>
      </c>
      <c r="E5" s="555" t="n">
        <v>3</v>
      </c>
      <c r="F5" s="422"/>
      <c r="G5" s="551" t="s">
        <v>17</v>
      </c>
      <c r="H5" s="551" t="s">
        <v>369</v>
      </c>
    </row>
    <row r="6" customFormat="false" ht="13.8" hidden="false" customHeight="false" outlineLevel="0" collapsed="false">
      <c r="A6" s="422"/>
      <c r="B6" s="552"/>
      <c r="C6" s="553"/>
      <c r="D6" s="554"/>
      <c r="E6" s="555"/>
      <c r="F6" s="422"/>
      <c r="G6" s="551" t="s">
        <v>19</v>
      </c>
      <c r="H6" s="551" t="s">
        <v>370</v>
      </c>
    </row>
    <row r="7" customFormat="false" ht="13.8" hidden="false" customHeight="false" outlineLevel="0" collapsed="false">
      <c r="A7" s="422"/>
      <c r="B7" s="552"/>
      <c r="C7" s="553"/>
      <c r="D7" s="554"/>
      <c r="E7" s="555"/>
      <c r="F7" s="422"/>
      <c r="G7" s="551" t="s">
        <v>22</v>
      </c>
      <c r="H7" s="551" t="s">
        <v>371</v>
      </c>
    </row>
    <row r="8" customFormat="false" ht="13.8" hidden="false" customHeight="false" outlineLevel="0" collapsed="false">
      <c r="A8" s="422"/>
      <c r="B8" s="552"/>
      <c r="C8" s="553"/>
      <c r="D8" s="554"/>
      <c r="E8" s="555"/>
      <c r="F8" s="422"/>
      <c r="G8" s="551" t="s">
        <v>25</v>
      </c>
      <c r="H8" s="551" t="s">
        <v>372</v>
      </c>
    </row>
    <row r="9" customFormat="false" ht="13.8" hidden="false" customHeight="false" outlineLevel="0" collapsed="false">
      <c r="A9" s="422"/>
      <c r="B9" s="552"/>
      <c r="C9" s="553"/>
      <c r="D9" s="554"/>
      <c r="E9" s="555"/>
      <c r="F9" s="422"/>
      <c r="G9" s="551" t="s">
        <v>36</v>
      </c>
      <c r="H9" s="551" t="s">
        <v>373</v>
      </c>
    </row>
    <row r="10" customFormat="false" ht="13.8" hidden="false" customHeight="true" outlineLevel="0" collapsed="false">
      <c r="A10" s="422"/>
      <c r="B10" s="556" t="s">
        <v>374</v>
      </c>
      <c r="C10" s="557" t="s">
        <v>375</v>
      </c>
      <c r="D10" s="558" t="s">
        <v>376</v>
      </c>
      <c r="E10" s="559" t="n">
        <v>4</v>
      </c>
      <c r="F10" s="422"/>
      <c r="G10" s="551" t="s">
        <v>40</v>
      </c>
      <c r="H10" s="551" t="s">
        <v>377</v>
      </c>
    </row>
    <row r="11" customFormat="false" ht="13.8" hidden="false" customHeight="false" outlineLevel="0" collapsed="false">
      <c r="A11" s="422"/>
      <c r="B11" s="556"/>
      <c r="C11" s="557"/>
      <c r="D11" s="558"/>
      <c r="E11" s="559"/>
      <c r="F11" s="422"/>
      <c r="G11" s="551" t="s">
        <v>45</v>
      </c>
      <c r="H11" s="551" t="s">
        <v>378</v>
      </c>
    </row>
    <row r="12" customFormat="false" ht="13.8" hidden="false" customHeight="false" outlineLevel="0" collapsed="false">
      <c r="A12" s="422"/>
      <c r="B12" s="556"/>
      <c r="C12" s="557"/>
      <c r="D12" s="558"/>
      <c r="E12" s="559"/>
      <c r="F12" s="422"/>
    </row>
    <row r="13" customFormat="false" ht="13.8" hidden="false" customHeight="false" outlineLevel="0" collapsed="false">
      <c r="A13" s="422"/>
      <c r="B13" s="556"/>
      <c r="C13" s="557"/>
      <c r="D13" s="558"/>
      <c r="E13" s="559"/>
      <c r="F13" s="422"/>
    </row>
    <row r="14" customFormat="false" ht="13.8" hidden="false" customHeight="false" outlineLevel="0" collapsed="false">
      <c r="A14" s="422"/>
      <c r="B14" s="556"/>
      <c r="C14" s="557"/>
      <c r="D14" s="558"/>
      <c r="E14" s="559"/>
      <c r="F14" s="422"/>
    </row>
    <row r="15" customFormat="false" ht="13.8" hidden="false" customHeight="true" outlineLevel="0" collapsed="false">
      <c r="A15" s="422"/>
      <c r="B15" s="556" t="s">
        <v>379</v>
      </c>
      <c r="C15" s="557" t="s">
        <v>380</v>
      </c>
      <c r="D15" s="558" t="s">
        <v>381</v>
      </c>
      <c r="E15" s="559" t="n">
        <v>1</v>
      </c>
      <c r="F15" s="422"/>
    </row>
    <row r="16" customFormat="false" ht="13.8" hidden="false" customHeight="false" outlineLevel="0" collapsed="false">
      <c r="A16" s="422"/>
      <c r="B16" s="556"/>
      <c r="C16" s="557"/>
      <c r="D16" s="558"/>
      <c r="E16" s="559"/>
      <c r="F16" s="422"/>
    </row>
    <row r="17" customFormat="false" ht="13.8" hidden="false" customHeight="false" outlineLevel="0" collapsed="false">
      <c r="A17" s="422"/>
      <c r="B17" s="556"/>
      <c r="C17" s="557"/>
      <c r="D17" s="558"/>
      <c r="E17" s="559"/>
      <c r="F17" s="422"/>
    </row>
    <row r="18" customFormat="false" ht="13.8" hidden="false" customHeight="false" outlineLevel="0" collapsed="false">
      <c r="A18" s="422"/>
      <c r="B18" s="556"/>
      <c r="C18" s="557"/>
      <c r="D18" s="558"/>
      <c r="E18" s="559"/>
      <c r="F18" s="422"/>
    </row>
    <row r="19" customFormat="false" ht="13.8" hidden="false" customHeight="false" outlineLevel="0" collapsed="false">
      <c r="A19" s="422"/>
      <c r="B19" s="556"/>
      <c r="C19" s="557"/>
      <c r="D19" s="558"/>
      <c r="E19" s="559"/>
      <c r="F19" s="422"/>
    </row>
    <row r="20" customFormat="false" ht="13.8" hidden="false" customHeight="true" outlineLevel="0" collapsed="false">
      <c r="A20" s="422"/>
      <c r="B20" s="556" t="s">
        <v>382</v>
      </c>
      <c r="C20" s="557" t="s">
        <v>383</v>
      </c>
      <c r="D20" s="558" t="s">
        <v>384</v>
      </c>
      <c r="E20" s="559" t="n">
        <v>2</v>
      </c>
      <c r="F20" s="422"/>
    </row>
    <row r="21" customFormat="false" ht="13.8" hidden="false" customHeight="false" outlineLevel="0" collapsed="false">
      <c r="A21" s="422"/>
      <c r="B21" s="556"/>
      <c r="C21" s="557"/>
      <c r="D21" s="558"/>
      <c r="E21" s="559"/>
      <c r="F21" s="422"/>
    </row>
    <row r="22" customFormat="false" ht="13.8" hidden="false" customHeight="false" outlineLevel="0" collapsed="false">
      <c r="A22" s="422"/>
      <c r="B22" s="556"/>
      <c r="C22" s="557"/>
      <c r="D22" s="558"/>
      <c r="E22" s="559"/>
      <c r="F22" s="422"/>
    </row>
    <row r="23" customFormat="false" ht="13.8" hidden="false" customHeight="false" outlineLevel="0" collapsed="false">
      <c r="A23" s="422"/>
      <c r="B23" s="556"/>
      <c r="C23" s="557"/>
      <c r="D23" s="558"/>
      <c r="E23" s="559"/>
      <c r="F23" s="422"/>
    </row>
    <row r="24" customFormat="false" ht="13.8" hidden="false" customHeight="false" outlineLevel="0" collapsed="false">
      <c r="A24" s="422"/>
      <c r="B24" s="556"/>
      <c r="C24" s="557"/>
      <c r="D24" s="558"/>
      <c r="E24" s="559"/>
      <c r="F24" s="422"/>
    </row>
    <row r="25" customFormat="false" ht="13.8" hidden="false" customHeight="false" outlineLevel="0" collapsed="false">
      <c r="A25" s="422"/>
      <c r="B25" s="556"/>
      <c r="C25" s="557"/>
      <c r="D25" s="558"/>
      <c r="E25" s="559"/>
      <c r="F25" s="422"/>
    </row>
    <row r="26" customFormat="false" ht="13.8" hidden="false" customHeight="false" outlineLevel="0" collapsed="false">
      <c r="A26" s="422"/>
      <c r="B26" s="556"/>
      <c r="C26" s="557"/>
      <c r="D26" s="558"/>
      <c r="E26" s="559"/>
      <c r="F26" s="422"/>
    </row>
    <row r="27" customFormat="false" ht="13.8" hidden="false" customHeight="false" outlineLevel="0" collapsed="false">
      <c r="A27" s="422"/>
      <c r="B27" s="556"/>
      <c r="C27" s="557"/>
      <c r="D27" s="558"/>
      <c r="E27" s="559"/>
      <c r="F27" s="422"/>
    </row>
    <row r="28" customFormat="false" ht="13.8" hidden="false" customHeight="false" outlineLevel="0" collapsed="false">
      <c r="A28" s="422"/>
      <c r="B28" s="556"/>
      <c r="C28" s="557"/>
      <c r="D28" s="558"/>
      <c r="E28" s="559"/>
      <c r="F28" s="422"/>
    </row>
    <row r="29" customFormat="false" ht="13.8" hidden="false" customHeight="false" outlineLevel="0" collapsed="false">
      <c r="A29" s="422"/>
      <c r="B29" s="556"/>
      <c r="C29" s="557"/>
      <c r="D29" s="558"/>
      <c r="E29" s="559"/>
      <c r="F29" s="422"/>
    </row>
    <row r="30" customFormat="false" ht="13.8" hidden="false" customHeight="false" outlineLevel="0" collapsed="false">
      <c r="A30" s="422"/>
      <c r="B30" s="560"/>
      <c r="C30" s="561"/>
      <c r="D30" s="562"/>
      <c r="E30" s="563"/>
      <c r="F30" s="422"/>
    </row>
    <row r="31" customFormat="false" ht="13.8" hidden="false" customHeight="false" outlineLevel="0" collapsed="false">
      <c r="A31" s="422"/>
      <c r="B31" s="560"/>
      <c r="C31" s="561"/>
      <c r="D31" s="562"/>
      <c r="E31" s="563"/>
      <c r="F31" s="422"/>
    </row>
    <row r="32" customFormat="false" ht="13.8" hidden="false" customHeight="false" outlineLevel="0" collapsed="false">
      <c r="A32" s="422"/>
      <c r="B32" s="560"/>
      <c r="C32" s="561"/>
      <c r="D32" s="562"/>
      <c r="E32" s="563"/>
      <c r="F32" s="422"/>
    </row>
    <row r="33" customFormat="false" ht="13.8" hidden="false" customHeight="false" outlineLevel="0" collapsed="false">
      <c r="A33" s="422"/>
      <c r="B33" s="560"/>
      <c r="C33" s="561"/>
      <c r="D33" s="562"/>
      <c r="E33" s="563"/>
      <c r="F33" s="422"/>
    </row>
    <row r="34" customFormat="false" ht="13.8" hidden="false" customHeight="false" outlineLevel="0" collapsed="false">
      <c r="A34" s="422"/>
      <c r="B34" s="560"/>
      <c r="C34" s="561"/>
      <c r="D34" s="562"/>
      <c r="E34" s="563"/>
      <c r="F34" s="422"/>
    </row>
    <row r="35" customFormat="false" ht="6" hidden="false" customHeight="true" outlineLevel="0" collapsed="false">
      <c r="A35" s="422"/>
      <c r="B35" s="422"/>
      <c r="C35" s="422"/>
      <c r="D35" s="422"/>
      <c r="E35" s="422"/>
      <c r="F35" s="422"/>
    </row>
  </sheetData>
  <mergeCells count="30">
    <mergeCell ref="B1:E1"/>
    <mergeCell ref="G1:H1"/>
    <mergeCell ref="B3:B4"/>
    <mergeCell ref="C3:C4"/>
    <mergeCell ref="D3:D4"/>
    <mergeCell ref="E3:E4"/>
    <mergeCell ref="B5:B9"/>
    <mergeCell ref="C5:C9"/>
    <mergeCell ref="D5:D9"/>
    <mergeCell ref="E5:E9"/>
    <mergeCell ref="B10:B14"/>
    <mergeCell ref="C10:C14"/>
    <mergeCell ref="D10:D14"/>
    <mergeCell ref="E10:E14"/>
    <mergeCell ref="B15:B19"/>
    <mergeCell ref="C15:C19"/>
    <mergeCell ref="D15:D19"/>
    <mergeCell ref="E15:E19"/>
    <mergeCell ref="B20:B24"/>
    <mergeCell ref="C20:C24"/>
    <mergeCell ref="D20:D24"/>
    <mergeCell ref="E20:E24"/>
    <mergeCell ref="B25:B29"/>
    <mergeCell ref="C25:C29"/>
    <mergeCell ref="D25:D29"/>
    <mergeCell ref="E25:E29"/>
    <mergeCell ref="B30:B34"/>
    <mergeCell ref="C30:C34"/>
    <mergeCell ref="D30:D34"/>
    <mergeCell ref="E30:E34"/>
  </mergeCells>
  <conditionalFormatting sqref="E5:E34">
    <cfRule type="colorScale" priority="2">
      <colorScale>
        <cfvo type="min" val="0"/>
        <cfvo type="percentile" val="50"/>
        <cfvo type="max" val="0"/>
        <color rgb="FFCCFFCC"/>
        <color rgb="FFFFFFCC"/>
        <color rgb="FFFFCCCC"/>
      </colorScale>
    </cfRule>
  </conditionalFormatting>
  <printOptions headings="false" gridLines="false" gridLinesSet="true" horizontalCentered="tru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BL41"/>
  <sheetViews>
    <sheetView showFormulas="false" showGridLines="true" showRowColHeaders="true" showZeros="fals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9.14453125" defaultRowHeight="13.8" zeroHeight="tru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31.43"/>
    <col collapsed="false" customWidth="true" hidden="false" outlineLevel="0" max="3" min="3" style="0" width="21.71"/>
    <col collapsed="false" customWidth="true" hidden="false" outlineLevel="0" max="5" min="4" style="0" width="40.71"/>
    <col collapsed="false" customWidth="true" hidden="false" outlineLevel="0" max="6" min="6" style="0" width="32.29"/>
    <col collapsed="false" customWidth="true" hidden="false" outlineLevel="0" max="7" min="7" style="0" width="22.85"/>
    <col collapsed="false" customWidth="true" hidden="false" outlineLevel="0" max="8" min="8" style="0" width="1.71"/>
    <col collapsed="false" customWidth="false" hidden="false" outlineLevel="0" max="11" min="9" style="564" width="9.14"/>
    <col collapsed="false" customWidth="false" hidden="true" outlineLevel="0" max="1024" min="12" style="0" width="9.14"/>
  </cols>
  <sheetData>
    <row r="1" customFormat="false" ht="30" hidden="false" customHeight="true" outlineLevel="0" collapsed="false">
      <c r="A1" s="422"/>
      <c r="B1" s="546" t="s">
        <v>385</v>
      </c>
      <c r="C1" s="546"/>
      <c r="D1" s="546"/>
      <c r="E1" s="546"/>
      <c r="F1" s="546"/>
      <c r="G1" s="546"/>
      <c r="H1" s="422"/>
      <c r="L1" s="0" t="s">
        <v>386</v>
      </c>
    </row>
    <row r="2" customFormat="false" ht="13.8" hidden="false" customHeight="false" outlineLevel="0" collapsed="false">
      <c r="A2" s="422"/>
      <c r="B2" s="422"/>
      <c r="C2" s="422"/>
      <c r="D2" s="422"/>
      <c r="E2" s="422"/>
      <c r="F2" s="422"/>
      <c r="G2" s="422"/>
      <c r="H2" s="422"/>
      <c r="L2" s="0" t="s">
        <v>387</v>
      </c>
    </row>
    <row r="3" customFormat="false" ht="15" hidden="false" customHeight="true" outlineLevel="0" collapsed="false">
      <c r="A3" s="422"/>
      <c r="B3" s="548" t="s">
        <v>388</v>
      </c>
      <c r="C3" s="134" t="s">
        <v>389</v>
      </c>
      <c r="D3" s="549" t="s">
        <v>361</v>
      </c>
      <c r="E3" s="550" t="s">
        <v>362</v>
      </c>
      <c r="F3" s="134" t="str">
        <f aca="false">"Ориентировочный объем продаж аналогичной продукции у конкурентов, "&amp;Анализ!$D$7&amp;"/мес."</f>
        <v>Ориентировочный объем продаж аналогичной продукции у конкурентов, ед./мес.</v>
      </c>
      <c r="G3" s="134" t="str">
        <f aca="false">"Цена аналогичной продукции у конкурентов, "&amp;Анализ!D6</f>
        <v>Цена аналогичной продукции у конкурентов, грн.</v>
      </c>
      <c r="H3" s="422"/>
    </row>
    <row r="4" customFormat="false" ht="13.8" hidden="false" customHeight="false" outlineLevel="0" collapsed="false">
      <c r="A4" s="422"/>
      <c r="B4" s="548"/>
      <c r="C4" s="134"/>
      <c r="D4" s="549"/>
      <c r="E4" s="550"/>
      <c r="F4" s="134"/>
      <c r="G4" s="134"/>
      <c r="H4" s="422"/>
    </row>
    <row r="5" customFormat="false" ht="13.8" hidden="false" customHeight="false" outlineLevel="0" collapsed="false">
      <c r="A5" s="422"/>
      <c r="B5" s="548"/>
      <c r="C5" s="134"/>
      <c r="D5" s="549"/>
      <c r="E5" s="550"/>
      <c r="F5" s="134"/>
      <c r="G5" s="134"/>
      <c r="H5" s="422"/>
      <c r="K5" s="564" t="str">
        <f aca="false">"цена "&amp;Анализ!D6&amp;"/"&amp;Анализ!D7</f>
        <v>цена грн./ед.</v>
      </c>
    </row>
    <row r="6" customFormat="false" ht="15" hidden="false" customHeight="true" outlineLevel="0" collapsed="false">
      <c r="A6" s="422"/>
      <c r="B6" s="552" t="s">
        <v>390</v>
      </c>
      <c r="C6" s="565" t="s">
        <v>386</v>
      </c>
      <c r="D6" s="553" t="s">
        <v>391</v>
      </c>
      <c r="E6" s="554" t="s">
        <v>392</v>
      </c>
      <c r="F6" s="566" t="n">
        <v>3000</v>
      </c>
      <c r="G6" s="566" t="n">
        <v>35</v>
      </c>
      <c r="H6" s="422"/>
      <c r="J6" s="564" t="s">
        <v>393</v>
      </c>
      <c r="K6" s="567" t="n">
        <f aca="false">Анализ!D84</f>
        <v>90</v>
      </c>
    </row>
    <row r="7" customFormat="false" ht="13.8" hidden="false" customHeight="false" outlineLevel="0" collapsed="false">
      <c r="A7" s="422"/>
      <c r="B7" s="552"/>
      <c r="C7" s="565"/>
      <c r="D7" s="553"/>
      <c r="E7" s="554"/>
      <c r="F7" s="566"/>
      <c r="G7" s="566"/>
      <c r="H7" s="422"/>
      <c r="J7" s="564" t="str">
        <f aca="false">B6</f>
        <v>Точка продажи пиццы на вынос в супермаркете</v>
      </c>
      <c r="K7" s="567" t="n">
        <f aca="false">IF(G6&gt;0,G6,"Н/Д")</f>
        <v>35</v>
      </c>
    </row>
    <row r="8" customFormat="false" ht="13.8" hidden="false" customHeight="false" outlineLevel="0" collapsed="false">
      <c r="A8" s="422"/>
      <c r="B8" s="552"/>
      <c r="C8" s="565"/>
      <c r="D8" s="553"/>
      <c r="E8" s="554"/>
      <c r="F8" s="566"/>
      <c r="G8" s="566"/>
      <c r="H8" s="422"/>
      <c r="J8" s="564" t="str">
        <f aca="false">B11</f>
        <v>Пиццерия 1</v>
      </c>
      <c r="K8" s="567" t="n">
        <f aca="false">IF(G11&gt;0,G11,"Н/Д")</f>
        <v>70</v>
      </c>
    </row>
    <row r="9" customFormat="false" ht="13.8" hidden="false" customHeight="false" outlineLevel="0" collapsed="false">
      <c r="A9" s="422"/>
      <c r="B9" s="552"/>
      <c r="C9" s="565"/>
      <c r="D9" s="553"/>
      <c r="E9" s="554"/>
      <c r="F9" s="566"/>
      <c r="G9" s="566"/>
      <c r="H9" s="422"/>
      <c r="J9" s="564" t="str">
        <f aca="false">B16</f>
        <v>Пиццерия 2</v>
      </c>
      <c r="K9" s="567" t="n">
        <f aca="false">IF(G16&gt;0,G16,"Н/Д")</f>
        <v>70</v>
      </c>
    </row>
    <row r="10" customFormat="false" ht="13.8" hidden="false" customHeight="false" outlineLevel="0" collapsed="false">
      <c r="A10" s="422"/>
      <c r="B10" s="552"/>
      <c r="C10" s="565"/>
      <c r="D10" s="553"/>
      <c r="E10" s="554"/>
      <c r="F10" s="566"/>
      <c r="G10" s="566"/>
      <c r="H10" s="422"/>
      <c r="J10" s="564" t="str">
        <f aca="false">B21</f>
        <v>Бургерная</v>
      </c>
      <c r="K10" s="564" t="str">
        <f aca="false">IF(G21&gt;0,G21,"Н/Д")</f>
        <v>Н/Д</v>
      </c>
    </row>
    <row r="11" customFormat="false" ht="15" hidden="false" customHeight="true" outlineLevel="0" collapsed="false">
      <c r="A11" s="422"/>
      <c r="B11" s="556" t="s">
        <v>394</v>
      </c>
      <c r="C11" s="565" t="s">
        <v>386</v>
      </c>
      <c r="D11" s="557" t="s">
        <v>395</v>
      </c>
      <c r="E11" s="558" t="s">
        <v>396</v>
      </c>
      <c r="F11" s="568" t="n">
        <v>2000</v>
      </c>
      <c r="G11" s="568" t="n">
        <v>70</v>
      </c>
      <c r="H11" s="422"/>
      <c r="J11" s="564" t="n">
        <f aca="false">B26</f>
        <v>0</v>
      </c>
      <c r="K11" s="564" t="str">
        <f aca="false">IF(G26&gt;0,G26,"Н/Д")</f>
        <v>Н/Д</v>
      </c>
    </row>
    <row r="12" customFormat="false" ht="13.8" hidden="false" customHeight="false" outlineLevel="0" collapsed="false">
      <c r="A12" s="422"/>
      <c r="B12" s="556"/>
      <c r="C12" s="565"/>
      <c r="D12" s="557"/>
      <c r="E12" s="558"/>
      <c r="F12" s="568"/>
      <c r="G12" s="568"/>
      <c r="H12" s="422"/>
      <c r="J12" s="564" t="n">
        <f aca="false">B31</f>
        <v>0</v>
      </c>
      <c r="K12" s="564" t="str">
        <f aca="false">IF(G31&gt;0,G31,"Н/Д")</f>
        <v>Н/Д</v>
      </c>
    </row>
    <row r="13" customFormat="false" ht="13.8" hidden="false" customHeight="false" outlineLevel="0" collapsed="false">
      <c r="A13" s="422"/>
      <c r="B13" s="556"/>
      <c r="C13" s="565"/>
      <c r="D13" s="557"/>
      <c r="E13" s="558"/>
      <c r="F13" s="568"/>
      <c r="G13" s="568"/>
      <c r="H13" s="422"/>
      <c r="J13" s="564" t="n">
        <f aca="false">B36</f>
        <v>0</v>
      </c>
      <c r="K13" s="564" t="str">
        <f aca="false">IF(G36&gt;0,G36,"Н/Д")</f>
        <v>Н/Д</v>
      </c>
    </row>
    <row r="14" customFormat="false" ht="13.8" hidden="false" customHeight="false" outlineLevel="0" collapsed="false">
      <c r="A14" s="422"/>
      <c r="B14" s="556"/>
      <c r="C14" s="565"/>
      <c r="D14" s="557"/>
      <c r="E14" s="558"/>
      <c r="F14" s="568"/>
      <c r="G14" s="568"/>
      <c r="H14" s="422"/>
    </row>
    <row r="15" customFormat="false" ht="13.8" hidden="false" customHeight="false" outlineLevel="0" collapsed="false">
      <c r="A15" s="422"/>
      <c r="B15" s="556"/>
      <c r="C15" s="565"/>
      <c r="D15" s="557"/>
      <c r="E15" s="558"/>
      <c r="F15" s="568"/>
      <c r="G15" s="568"/>
      <c r="H15" s="422"/>
    </row>
    <row r="16" customFormat="false" ht="13.8" hidden="false" customHeight="true" outlineLevel="0" collapsed="false">
      <c r="A16" s="422"/>
      <c r="B16" s="556" t="s">
        <v>397</v>
      </c>
      <c r="C16" s="565" t="s">
        <v>386</v>
      </c>
      <c r="D16" s="557" t="s">
        <v>398</v>
      </c>
      <c r="E16" s="558" t="s">
        <v>399</v>
      </c>
      <c r="F16" s="568" t="n">
        <v>1500</v>
      </c>
      <c r="G16" s="568" t="n">
        <v>70</v>
      </c>
      <c r="H16" s="422"/>
      <c r="K16" s="564" t="str">
        <f aca="false">"Объем продаж конкурентов, "&amp;Анализ!$D$7&amp;"/мес."</f>
        <v>Объем продаж конкурентов, ед./мес.</v>
      </c>
    </row>
    <row r="17" customFormat="false" ht="13.8" hidden="false" customHeight="false" outlineLevel="0" collapsed="false">
      <c r="A17" s="422"/>
      <c r="B17" s="556"/>
      <c r="C17" s="565"/>
      <c r="D17" s="557"/>
      <c r="E17" s="558"/>
      <c r="F17" s="568"/>
      <c r="G17" s="568"/>
      <c r="H17" s="422"/>
      <c r="J17" s="564" t="str">
        <f aca="false">B6</f>
        <v>Точка продажи пиццы на вынос в супермаркете</v>
      </c>
      <c r="K17" s="567" t="n">
        <f aca="false">F6</f>
        <v>3000</v>
      </c>
    </row>
    <row r="18" customFormat="false" ht="13.8" hidden="false" customHeight="false" outlineLevel="0" collapsed="false">
      <c r="A18" s="422"/>
      <c r="B18" s="556"/>
      <c r="C18" s="565"/>
      <c r="D18" s="557"/>
      <c r="E18" s="558"/>
      <c r="F18" s="568"/>
      <c r="G18" s="568"/>
      <c r="H18" s="422"/>
      <c r="J18" s="564" t="str">
        <f aca="false">B11</f>
        <v>Пиццерия 1</v>
      </c>
      <c r="K18" s="567" t="n">
        <f aca="false">F11</f>
        <v>2000</v>
      </c>
    </row>
    <row r="19" customFormat="false" ht="13.8" hidden="false" customHeight="false" outlineLevel="0" collapsed="false">
      <c r="A19" s="422"/>
      <c r="B19" s="556"/>
      <c r="C19" s="565"/>
      <c r="D19" s="557"/>
      <c r="E19" s="558"/>
      <c r="F19" s="568"/>
      <c r="G19" s="568"/>
      <c r="H19" s="422"/>
      <c r="J19" s="564" t="str">
        <f aca="false">B16</f>
        <v>Пиццерия 2</v>
      </c>
      <c r="K19" s="567" t="n">
        <f aca="false">F16</f>
        <v>1500</v>
      </c>
    </row>
    <row r="20" customFormat="false" ht="13.8" hidden="false" customHeight="false" outlineLevel="0" collapsed="false">
      <c r="A20" s="422"/>
      <c r="B20" s="556"/>
      <c r="C20" s="565"/>
      <c r="D20" s="557"/>
      <c r="E20" s="558"/>
      <c r="F20" s="568"/>
      <c r="G20" s="568"/>
      <c r="H20" s="422"/>
      <c r="J20" s="564" t="str">
        <f aca="false">B21</f>
        <v>Бургерная</v>
      </c>
      <c r="K20" s="567" t="n">
        <f aca="false">F21</f>
        <v>0</v>
      </c>
    </row>
    <row r="21" customFormat="false" ht="13.8" hidden="false" customHeight="true" outlineLevel="0" collapsed="false">
      <c r="A21" s="422"/>
      <c r="B21" s="556" t="s">
        <v>400</v>
      </c>
      <c r="C21" s="565" t="s">
        <v>387</v>
      </c>
      <c r="D21" s="557" t="s">
        <v>401</v>
      </c>
      <c r="E21" s="558" t="s">
        <v>402</v>
      </c>
      <c r="F21" s="568"/>
      <c r="G21" s="568"/>
      <c r="H21" s="422"/>
      <c r="J21" s="564" t="n">
        <f aca="false">B26</f>
        <v>0</v>
      </c>
      <c r="K21" s="567" t="n">
        <f aca="false">F26</f>
        <v>0</v>
      </c>
    </row>
    <row r="22" customFormat="false" ht="13.8" hidden="false" customHeight="false" outlineLevel="0" collapsed="false">
      <c r="A22" s="422"/>
      <c r="B22" s="556"/>
      <c r="C22" s="565"/>
      <c r="D22" s="557"/>
      <c r="E22" s="558"/>
      <c r="F22" s="568"/>
      <c r="G22" s="568"/>
      <c r="H22" s="422"/>
      <c r="J22" s="564" t="n">
        <f aca="false">B31</f>
        <v>0</v>
      </c>
      <c r="K22" s="567" t="n">
        <f aca="false">F31</f>
        <v>0</v>
      </c>
    </row>
    <row r="23" customFormat="false" ht="13.8" hidden="false" customHeight="false" outlineLevel="0" collapsed="false">
      <c r="A23" s="422"/>
      <c r="B23" s="556"/>
      <c r="C23" s="565"/>
      <c r="D23" s="557"/>
      <c r="E23" s="558"/>
      <c r="F23" s="568"/>
      <c r="G23" s="568"/>
      <c r="H23" s="422"/>
      <c r="J23" s="564" t="n">
        <f aca="false">B36</f>
        <v>0</v>
      </c>
      <c r="K23" s="567" t="n">
        <f aca="false">F36</f>
        <v>0</v>
      </c>
    </row>
    <row r="24" customFormat="false" ht="13.8" hidden="false" customHeight="false" outlineLevel="0" collapsed="false">
      <c r="A24" s="422"/>
      <c r="B24" s="556"/>
      <c r="C24" s="565"/>
      <c r="D24" s="557"/>
      <c r="E24" s="558"/>
      <c r="F24" s="568"/>
      <c r="G24" s="568"/>
      <c r="H24" s="422"/>
    </row>
    <row r="25" customFormat="false" ht="13.8" hidden="false" customHeight="false" outlineLevel="0" collapsed="false">
      <c r="A25" s="422"/>
      <c r="B25" s="556"/>
      <c r="C25" s="565"/>
      <c r="D25" s="557"/>
      <c r="E25" s="558"/>
      <c r="F25" s="568"/>
      <c r="G25" s="568"/>
      <c r="H25" s="422"/>
    </row>
    <row r="26" customFormat="false" ht="13.8" hidden="false" customHeight="false" outlineLevel="0" collapsed="false">
      <c r="A26" s="422"/>
      <c r="B26" s="556"/>
      <c r="C26" s="565"/>
      <c r="D26" s="557"/>
      <c r="E26" s="558"/>
      <c r="F26" s="568"/>
      <c r="G26" s="568"/>
      <c r="H26" s="422"/>
    </row>
    <row r="27" customFormat="false" ht="13.8" hidden="false" customHeight="false" outlineLevel="0" collapsed="false">
      <c r="A27" s="422"/>
      <c r="B27" s="556"/>
      <c r="C27" s="565"/>
      <c r="D27" s="557"/>
      <c r="E27" s="558"/>
      <c r="F27" s="568"/>
      <c r="G27" s="568"/>
      <c r="H27" s="422"/>
    </row>
    <row r="28" customFormat="false" ht="13.8" hidden="false" customHeight="false" outlineLevel="0" collapsed="false">
      <c r="A28" s="422"/>
      <c r="B28" s="556"/>
      <c r="C28" s="565"/>
      <c r="D28" s="557"/>
      <c r="E28" s="558"/>
      <c r="F28" s="568"/>
      <c r="G28" s="568"/>
      <c r="H28" s="422"/>
    </row>
    <row r="29" customFormat="false" ht="13.8" hidden="false" customHeight="false" outlineLevel="0" collapsed="false">
      <c r="A29" s="422"/>
      <c r="B29" s="556"/>
      <c r="C29" s="565"/>
      <c r="D29" s="557"/>
      <c r="E29" s="558"/>
      <c r="F29" s="568"/>
      <c r="G29" s="568"/>
      <c r="H29" s="422"/>
    </row>
    <row r="30" customFormat="false" ht="13.8" hidden="false" customHeight="false" outlineLevel="0" collapsed="false">
      <c r="A30" s="422"/>
      <c r="B30" s="556"/>
      <c r="C30" s="565"/>
      <c r="D30" s="557"/>
      <c r="E30" s="558"/>
      <c r="F30" s="568"/>
      <c r="G30" s="568"/>
      <c r="H30" s="422"/>
    </row>
    <row r="31" customFormat="false" ht="13.8" hidden="false" customHeight="false" outlineLevel="0" collapsed="false">
      <c r="A31" s="422"/>
      <c r="B31" s="556"/>
      <c r="C31" s="565"/>
      <c r="D31" s="557"/>
      <c r="E31" s="558"/>
      <c r="F31" s="568"/>
      <c r="G31" s="568"/>
      <c r="H31" s="422"/>
    </row>
    <row r="32" customFormat="false" ht="13.8" hidden="false" customHeight="false" outlineLevel="0" collapsed="false">
      <c r="A32" s="422"/>
      <c r="B32" s="556"/>
      <c r="C32" s="565"/>
      <c r="D32" s="557"/>
      <c r="E32" s="558"/>
      <c r="F32" s="568"/>
      <c r="G32" s="568"/>
      <c r="H32" s="422"/>
    </row>
    <row r="33" customFormat="false" ht="13.8" hidden="false" customHeight="false" outlineLevel="0" collapsed="false">
      <c r="A33" s="422"/>
      <c r="B33" s="556"/>
      <c r="C33" s="565"/>
      <c r="D33" s="557"/>
      <c r="E33" s="558"/>
      <c r="F33" s="568"/>
      <c r="G33" s="568"/>
      <c r="H33" s="422"/>
    </row>
    <row r="34" customFormat="false" ht="13.8" hidden="false" customHeight="false" outlineLevel="0" collapsed="false">
      <c r="A34" s="422"/>
      <c r="B34" s="556"/>
      <c r="C34" s="565"/>
      <c r="D34" s="557"/>
      <c r="E34" s="558"/>
      <c r="F34" s="568"/>
      <c r="G34" s="568"/>
      <c r="H34" s="422"/>
    </row>
    <row r="35" customFormat="false" ht="13.8" hidden="false" customHeight="false" outlineLevel="0" collapsed="false">
      <c r="A35" s="422"/>
      <c r="B35" s="556"/>
      <c r="C35" s="565"/>
      <c r="D35" s="557"/>
      <c r="E35" s="558"/>
      <c r="F35" s="568"/>
      <c r="G35" s="568"/>
      <c r="H35" s="422"/>
    </row>
    <row r="36" customFormat="false" ht="13.8" hidden="false" customHeight="false" outlineLevel="0" collapsed="false">
      <c r="A36" s="422"/>
      <c r="B36" s="560"/>
      <c r="C36" s="569"/>
      <c r="D36" s="561"/>
      <c r="E36" s="562"/>
      <c r="F36" s="570"/>
      <c r="G36" s="570"/>
      <c r="H36" s="422"/>
    </row>
    <row r="37" customFormat="false" ht="13.8" hidden="false" customHeight="false" outlineLevel="0" collapsed="false">
      <c r="A37" s="422"/>
      <c r="B37" s="560"/>
      <c r="C37" s="569"/>
      <c r="D37" s="561"/>
      <c r="E37" s="562"/>
      <c r="F37" s="570"/>
      <c r="G37" s="570"/>
      <c r="H37" s="422"/>
    </row>
    <row r="38" customFormat="false" ht="13.8" hidden="false" customHeight="false" outlineLevel="0" collapsed="false">
      <c r="A38" s="422"/>
      <c r="B38" s="560"/>
      <c r="C38" s="569"/>
      <c r="D38" s="561"/>
      <c r="E38" s="562"/>
      <c r="F38" s="570"/>
      <c r="G38" s="570"/>
      <c r="H38" s="422"/>
    </row>
    <row r="39" customFormat="false" ht="13.8" hidden="false" customHeight="false" outlineLevel="0" collapsed="false">
      <c r="A39" s="422"/>
      <c r="B39" s="560"/>
      <c r="C39" s="569"/>
      <c r="D39" s="561"/>
      <c r="E39" s="562"/>
      <c r="F39" s="570"/>
      <c r="G39" s="570"/>
      <c r="H39" s="422"/>
    </row>
    <row r="40" customFormat="false" ht="13.8" hidden="false" customHeight="false" outlineLevel="0" collapsed="false">
      <c r="A40" s="422"/>
      <c r="B40" s="560"/>
      <c r="C40" s="569"/>
      <c r="D40" s="561"/>
      <c r="E40" s="562"/>
      <c r="F40" s="570"/>
      <c r="G40" s="570"/>
      <c r="H40" s="422"/>
    </row>
    <row r="41" customFormat="false" ht="9" hidden="false" customHeight="true" outlineLevel="0" collapsed="false">
      <c r="A41" s="422"/>
      <c r="B41" s="422"/>
      <c r="C41" s="422"/>
      <c r="D41" s="422"/>
      <c r="E41" s="422"/>
      <c r="F41" s="422"/>
      <c r="G41" s="422"/>
      <c r="H41" s="422"/>
      <c r="L41" s="422"/>
      <c r="M41" s="422"/>
      <c r="N41" s="422"/>
      <c r="O41" s="422"/>
      <c r="P41" s="422"/>
      <c r="Q41" s="422"/>
      <c r="R41" s="422"/>
      <c r="S41" s="422"/>
      <c r="T41" s="422"/>
      <c r="U41" s="422"/>
      <c r="V41" s="422"/>
      <c r="W41" s="422"/>
      <c r="X41" s="422"/>
      <c r="Y41" s="422"/>
      <c r="Z41" s="422"/>
      <c r="AA41" s="422"/>
      <c r="AB41" s="422"/>
      <c r="AC41" s="422"/>
      <c r="AD41" s="422"/>
      <c r="AE41" s="422"/>
      <c r="AF41" s="422"/>
      <c r="AG41" s="422"/>
      <c r="AH41" s="422"/>
      <c r="AI41" s="422"/>
      <c r="AJ41" s="422"/>
      <c r="AK41" s="422"/>
      <c r="AL41" s="422"/>
      <c r="AM41" s="422"/>
      <c r="AN41" s="422"/>
      <c r="AO41" s="422"/>
      <c r="AP41" s="422"/>
      <c r="AQ41" s="422"/>
      <c r="AR41" s="422"/>
      <c r="AS41" s="422"/>
      <c r="AT41" s="422"/>
      <c r="AU41" s="422"/>
      <c r="AV41" s="422"/>
      <c r="AW41" s="422"/>
      <c r="AX41" s="422"/>
      <c r="AY41" s="422"/>
      <c r="AZ41" s="422"/>
      <c r="BA41" s="422"/>
      <c r="BB41" s="422"/>
      <c r="BC41" s="422"/>
      <c r="BD41" s="422"/>
      <c r="BE41" s="422"/>
      <c r="BF41" s="422"/>
      <c r="BG41" s="422"/>
      <c r="BH41" s="422"/>
      <c r="BI41" s="422"/>
      <c r="BJ41" s="422"/>
      <c r="BK41" s="422"/>
      <c r="BL41" s="422"/>
    </row>
  </sheetData>
  <mergeCells count="49">
    <mergeCell ref="B1:G1"/>
    <mergeCell ref="B3:B5"/>
    <mergeCell ref="C3:C5"/>
    <mergeCell ref="D3:D5"/>
    <mergeCell ref="E3:E5"/>
    <mergeCell ref="F3:F5"/>
    <mergeCell ref="G3:G5"/>
    <mergeCell ref="B6:B10"/>
    <mergeCell ref="C6:C10"/>
    <mergeCell ref="D6:D10"/>
    <mergeCell ref="E6:E10"/>
    <mergeCell ref="F6:F10"/>
    <mergeCell ref="G6:G10"/>
    <mergeCell ref="B11:B15"/>
    <mergeCell ref="C11:C15"/>
    <mergeCell ref="D11:D15"/>
    <mergeCell ref="E11:E15"/>
    <mergeCell ref="F11:F15"/>
    <mergeCell ref="G11:G15"/>
    <mergeCell ref="B16:B20"/>
    <mergeCell ref="C16:C20"/>
    <mergeCell ref="D16:D20"/>
    <mergeCell ref="E16:E20"/>
    <mergeCell ref="F16:F20"/>
    <mergeCell ref="G16:G20"/>
    <mergeCell ref="B21:B25"/>
    <mergeCell ref="C21:C25"/>
    <mergeCell ref="D21:D25"/>
    <mergeCell ref="E21:E25"/>
    <mergeCell ref="F21:F25"/>
    <mergeCell ref="G21:G25"/>
    <mergeCell ref="B26:B30"/>
    <mergeCell ref="C26:C30"/>
    <mergeCell ref="D26:D30"/>
    <mergeCell ref="E26:E30"/>
    <mergeCell ref="F26:F30"/>
    <mergeCell ref="G26:G30"/>
    <mergeCell ref="B31:B35"/>
    <mergeCell ref="C31:C35"/>
    <mergeCell ref="D31:D35"/>
    <mergeCell ref="E31:E35"/>
    <mergeCell ref="F31:F35"/>
    <mergeCell ref="G31:G35"/>
    <mergeCell ref="B36:B40"/>
    <mergeCell ref="C36:C40"/>
    <mergeCell ref="D36:D40"/>
    <mergeCell ref="E36:E40"/>
    <mergeCell ref="F36:F40"/>
    <mergeCell ref="G36:G40"/>
  </mergeCells>
  <dataValidations count="1">
    <dataValidation allowBlank="true" operator="equal" showDropDown="false" showErrorMessage="true" showInputMessage="true" sqref="C6:C40" type="list">
      <formula1>$L$1:$L$2</formula1>
      <formula2>0</formula2>
    </dataValidation>
  </dataValidations>
  <printOptions headings="false" gridLines="false" gridLinesSet="true" horizontalCentered="tru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BL45"/>
  <sheetViews>
    <sheetView showFormulas="false" showGridLines="true" showRowColHeaders="true" showZeros="fals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9.14453125" defaultRowHeight="13.8" zeroHeight="true" outlineLevelRow="0" outlineLevelCol="0"/>
  <cols>
    <col collapsed="false" customWidth="true" hidden="false" outlineLevel="0" max="1" min="1" style="422" width="1.71"/>
    <col collapsed="false" customWidth="true" hidden="false" outlineLevel="0" max="4" min="2" style="0" width="11.57"/>
    <col collapsed="false" customWidth="true" hidden="false" outlineLevel="0" max="5" min="5" style="0" width="12.28"/>
    <col collapsed="false" customWidth="true" hidden="false" outlineLevel="0" max="10" min="6" style="0" width="11.57"/>
    <col collapsed="false" customWidth="true" hidden="false" outlineLevel="0" max="14" min="14" style="0" width="8.85"/>
    <col collapsed="false" customWidth="true" hidden="false" outlineLevel="0" max="15" min="15" style="422" width="1.71"/>
    <col collapsed="false" customWidth="true" hidden="false" outlineLevel="0" max="17" min="17" style="0" width="105.57"/>
    <col collapsed="false" customWidth="false" hidden="true" outlineLevel="0" max="1024" min="18" style="0" width="9.14"/>
  </cols>
  <sheetData>
    <row r="1" customFormat="false" ht="34.5" hidden="false" customHeight="true" outlineLevel="0" collapsed="false">
      <c r="A1" s="424"/>
      <c r="B1" s="425" t="s">
        <v>403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4"/>
      <c r="P1" s="571" t="s">
        <v>404</v>
      </c>
      <c r="Q1" s="571"/>
      <c r="X1" s="0" t="s">
        <v>405</v>
      </c>
      <c r="Y1" s="0" t="s">
        <v>406</v>
      </c>
      <c r="Z1" s="0" t="s">
        <v>407</v>
      </c>
      <c r="AA1" s="0" t="str">
        <f aca="false">I6&amp;" "&amp;K6&amp;" "&amp;B7</f>
        <v> компании, которая занимается </v>
      </c>
    </row>
    <row r="2" customFormat="false" ht="6" hidden="false" customHeight="true" outlineLevel="0" collapsed="false"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P2" s="545"/>
      <c r="Q2" s="572" t="s">
        <v>408</v>
      </c>
      <c r="X2" s="0" t="s">
        <v>409</v>
      </c>
      <c r="Y2" s="0" t="s">
        <v>315</v>
      </c>
      <c r="Z2" s="0" t="s">
        <v>410</v>
      </c>
      <c r="AA2" s="0" t="str">
        <f aca="false">C8&amp;" в возрасте "&amp;C10&amp;" "&amp;D10&amp;", место проживания которых "&amp;D12&amp;", со средним ежемесячным доходом на уровне "&amp;E14&amp;" "&amp;F14&amp;". Их интересы - это "&amp;D16&amp;". Также они увлекаются "&amp;D18&amp;" и имеют такие навыки, как "&amp;D20&amp;". Основные их ценности - это "&amp;D22&amp;"."</f>
        <v>Мужчина и женщина в возрасте 17-40 лет, место проживания которых центральный район города, со средним ежемесячным доходом на уровне 5000 грн.. Их интересы - это социальные сети, Интернет, спорт и рукоделие. Также они увлекаются у женщин вышивание, вязание, готовка вкусных блюд; у мужчин компьютеры, автомобили и имеют такие навыки, как женщины умеют хорошо готовить, а мужчины хорошо владеют компьютером. Основные их ценности - это ведение здорового образа жизни, забота о семье.</v>
      </c>
    </row>
    <row r="3" customFormat="false" ht="17.25" hidden="false" customHeight="true" outlineLevel="0" collapsed="false">
      <c r="B3" s="573" t="s">
        <v>411</v>
      </c>
      <c r="C3" s="573"/>
      <c r="D3" s="574" t="s">
        <v>412</v>
      </c>
      <c r="E3" s="422"/>
      <c r="F3" s="422"/>
      <c r="G3" s="422"/>
      <c r="H3" s="422"/>
      <c r="I3" s="422"/>
      <c r="J3" s="422"/>
      <c r="K3" s="422"/>
      <c r="L3" s="422"/>
      <c r="M3" s="422"/>
      <c r="N3" s="422"/>
      <c r="P3" s="575" t="s">
        <v>413</v>
      </c>
      <c r="Q3" s="572"/>
      <c r="R3" s="489"/>
      <c r="S3" s="489"/>
      <c r="X3" s="0" t="s">
        <v>412</v>
      </c>
      <c r="Y3" s="0" t="s">
        <v>414</v>
      </c>
      <c r="Z3" s="0" t="s">
        <v>415</v>
      </c>
    </row>
    <row r="4" customFormat="false" ht="6" hidden="false" customHeight="true" outlineLevel="0" collapsed="false">
      <c r="B4" s="422"/>
      <c r="C4" s="422"/>
      <c r="D4" s="422"/>
      <c r="E4" s="422"/>
      <c r="F4" s="422"/>
      <c r="G4" s="422"/>
      <c r="H4" s="422"/>
      <c r="I4" s="422"/>
      <c r="J4" s="422"/>
      <c r="K4" s="422"/>
      <c r="L4" s="422"/>
      <c r="M4" s="422"/>
      <c r="N4" s="422"/>
      <c r="P4" s="545"/>
      <c r="Q4" s="572"/>
      <c r="R4" s="489"/>
      <c r="S4" s="489"/>
      <c r="Y4" s="0" t="s">
        <v>416</v>
      </c>
      <c r="Z4" s="0" t="s">
        <v>417</v>
      </c>
    </row>
    <row r="5" customFormat="false" ht="16.15" hidden="false" customHeight="false" outlineLevel="0" collapsed="false">
      <c r="B5" s="576" t="s">
        <v>418</v>
      </c>
      <c r="C5" s="576"/>
      <c r="D5" s="576"/>
      <c r="E5" s="576"/>
      <c r="F5" s="422"/>
      <c r="G5" s="422"/>
      <c r="H5" s="422"/>
      <c r="I5" s="422"/>
      <c r="J5" s="422"/>
      <c r="K5" s="422"/>
      <c r="L5" s="422"/>
      <c r="M5" s="422"/>
      <c r="N5" s="422"/>
      <c r="P5" s="545"/>
      <c r="Q5" s="572"/>
      <c r="R5" s="489"/>
      <c r="S5" s="489"/>
      <c r="Y5" s="0" t="s">
        <v>419</v>
      </c>
    </row>
    <row r="6" customFormat="false" ht="14.9" hidden="false" customHeight="false" outlineLevel="0" collapsed="false">
      <c r="B6" s="577" t="str">
        <f aca="false">"Наш основной клиент - это "&amp;IF(D3="B2B","другие бизнес-клиенты",IF(D3="B2C","конечный потребитель"," "))&amp;". Идеальный представитель:"</f>
        <v>Наш основной клиент - это конечный потребитель. Идеальный представитель:</v>
      </c>
      <c r="C6" s="577"/>
      <c r="D6" s="577"/>
      <c r="E6" s="577"/>
      <c r="F6" s="577"/>
      <c r="G6" s="577"/>
      <c r="H6" s="577"/>
      <c r="I6" s="574"/>
      <c r="J6" s="574"/>
      <c r="K6" s="578" t="s">
        <v>420</v>
      </c>
      <c r="L6" s="578"/>
      <c r="M6" s="578"/>
      <c r="N6" s="578"/>
      <c r="P6" s="545"/>
      <c r="Q6" s="572"/>
    </row>
    <row r="7" customFormat="false" ht="15" hidden="false" customHeight="true" outlineLevel="0" collapsed="false">
      <c r="B7" s="579"/>
      <c r="C7" s="579"/>
      <c r="D7" s="579"/>
      <c r="E7" s="579"/>
      <c r="F7" s="579"/>
      <c r="G7" s="579"/>
      <c r="H7" s="579"/>
      <c r="I7" s="579"/>
      <c r="J7" s="579"/>
      <c r="K7" s="579"/>
      <c r="L7" s="579"/>
      <c r="M7" s="579"/>
      <c r="N7" s="579"/>
      <c r="O7" s="580"/>
      <c r="P7" s="581"/>
      <c r="Q7" s="582"/>
    </row>
    <row r="8" customFormat="false" ht="14.9" hidden="false" customHeight="true" outlineLevel="0" collapsed="false">
      <c r="B8" s="583" t="s">
        <v>421</v>
      </c>
      <c r="C8" s="584" t="s">
        <v>417</v>
      </c>
      <c r="D8" s="584"/>
      <c r="E8" s="422"/>
      <c r="F8" s="422"/>
      <c r="G8" s="422"/>
      <c r="H8" s="422"/>
      <c r="I8" s="422"/>
      <c r="J8" s="422"/>
      <c r="K8" s="422"/>
      <c r="L8" s="422"/>
      <c r="M8" s="422"/>
      <c r="N8" s="422"/>
      <c r="P8" s="581" t="s">
        <v>422</v>
      </c>
      <c r="Q8" s="585" t="s">
        <v>423</v>
      </c>
    </row>
    <row r="9" customFormat="false" ht="5.25" hidden="false" customHeight="true" outlineLevel="0" collapsed="false">
      <c r="B9" s="583"/>
      <c r="D9" s="583"/>
      <c r="E9" s="583"/>
      <c r="F9" s="583"/>
      <c r="G9" s="583"/>
      <c r="H9" s="583"/>
      <c r="I9" s="422"/>
      <c r="J9" s="422"/>
      <c r="K9" s="422"/>
      <c r="L9" s="422"/>
      <c r="M9" s="422"/>
      <c r="N9" s="422"/>
      <c r="P9" s="545"/>
      <c r="Q9" s="585"/>
    </row>
    <row r="10" customFormat="false" ht="14.9" hidden="false" customHeight="false" outlineLevel="0" collapsed="false">
      <c r="B10" s="583" t="s">
        <v>424</v>
      </c>
      <c r="C10" s="586" t="s">
        <v>425</v>
      </c>
      <c r="D10" s="583" t="s">
        <v>426</v>
      </c>
      <c r="E10" s="422"/>
      <c r="F10" s="422"/>
      <c r="G10" s="422"/>
      <c r="H10" s="422"/>
      <c r="I10" s="422"/>
      <c r="J10" s="422"/>
      <c r="K10" s="422"/>
      <c r="L10" s="422"/>
      <c r="M10" s="422"/>
      <c r="N10" s="422"/>
      <c r="P10" s="545"/>
      <c r="Q10" s="585"/>
    </row>
    <row r="11" customFormat="false" ht="6" hidden="false" customHeight="true" outlineLevel="0" collapsed="false">
      <c r="B11" s="583"/>
      <c r="C11" s="583"/>
      <c r="D11" s="583"/>
      <c r="E11" s="583"/>
      <c r="F11" s="583"/>
      <c r="G11" s="583"/>
      <c r="H11" s="583"/>
      <c r="I11" s="583"/>
      <c r="J11" s="583"/>
      <c r="K11" s="583"/>
      <c r="L11" s="583"/>
      <c r="M11" s="583"/>
      <c r="N11" s="583"/>
      <c r="P11" s="545"/>
      <c r="Q11" s="582"/>
    </row>
    <row r="12" customFormat="false" ht="14.9" hidden="false" customHeight="false" outlineLevel="0" collapsed="false">
      <c r="B12" s="587" t="s">
        <v>427</v>
      </c>
      <c r="C12" s="587"/>
      <c r="D12" s="586" t="s">
        <v>38</v>
      </c>
      <c r="E12" s="586"/>
      <c r="F12" s="586"/>
      <c r="G12" s="586"/>
      <c r="H12" s="586"/>
      <c r="I12" s="422"/>
      <c r="J12" s="422"/>
      <c r="K12" s="422"/>
      <c r="L12" s="422"/>
      <c r="M12" s="422"/>
      <c r="N12" s="422"/>
      <c r="P12" s="545"/>
      <c r="Q12" s="582"/>
    </row>
    <row r="13" customFormat="false" ht="6" hidden="false" customHeight="true" outlineLevel="0" collapsed="false">
      <c r="B13" s="583"/>
      <c r="C13" s="583"/>
      <c r="D13" s="583"/>
      <c r="E13" s="588"/>
      <c r="F13" s="583"/>
      <c r="G13" s="583"/>
      <c r="H13" s="583"/>
      <c r="I13" s="583"/>
      <c r="J13" s="583"/>
      <c r="K13" s="583"/>
      <c r="L13" s="583"/>
      <c r="M13" s="583"/>
      <c r="N13" s="583"/>
      <c r="P13" s="545"/>
      <c r="Q13" s="545"/>
    </row>
    <row r="14" customFormat="false" ht="14.9" hidden="false" customHeight="false" outlineLevel="0" collapsed="false">
      <c r="B14" s="589" t="s">
        <v>428</v>
      </c>
      <c r="C14" s="589"/>
      <c r="D14" s="589"/>
      <c r="E14" s="590" t="n">
        <v>5000</v>
      </c>
      <c r="F14" s="583" t="str">
        <f aca="false">Анализ!D6</f>
        <v>грн.</v>
      </c>
      <c r="G14" s="422"/>
      <c r="H14" s="422"/>
      <c r="I14" s="422"/>
      <c r="J14" s="422"/>
      <c r="K14" s="422"/>
      <c r="L14" s="422"/>
      <c r="M14" s="422"/>
      <c r="N14" s="422"/>
      <c r="P14" s="545"/>
      <c r="Q14" s="545"/>
    </row>
    <row r="15" customFormat="false" ht="6" hidden="false" customHeight="true" outlineLevel="0" collapsed="false"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3"/>
      <c r="N15" s="583"/>
      <c r="P15" s="545"/>
      <c r="Q15" s="545"/>
    </row>
    <row r="16" customFormat="false" ht="14.9" hidden="false" customHeight="false" outlineLevel="0" collapsed="false">
      <c r="B16" s="589" t="s">
        <v>429</v>
      </c>
      <c r="C16" s="589"/>
      <c r="D16" s="586" t="s">
        <v>430</v>
      </c>
      <c r="E16" s="586"/>
      <c r="F16" s="586"/>
      <c r="G16" s="586"/>
      <c r="H16" s="586"/>
      <c r="I16" s="586"/>
      <c r="J16" s="586"/>
      <c r="K16" s="422"/>
      <c r="L16" s="422"/>
      <c r="M16" s="422"/>
      <c r="N16" s="422"/>
      <c r="P16" s="545"/>
      <c r="Q16" s="545"/>
    </row>
    <row r="17" customFormat="false" ht="6" hidden="false" customHeight="true" outlineLevel="0" collapsed="false">
      <c r="B17" s="583"/>
      <c r="C17" s="583"/>
      <c r="D17" s="583"/>
      <c r="E17" s="583"/>
      <c r="F17" s="583"/>
      <c r="G17" s="583"/>
      <c r="H17" s="583"/>
      <c r="I17" s="583"/>
      <c r="J17" s="583"/>
      <c r="K17" s="583"/>
      <c r="L17" s="583"/>
      <c r="M17" s="583"/>
      <c r="N17" s="583"/>
      <c r="P17" s="545"/>
      <c r="Q17" s="545"/>
    </row>
    <row r="18" customFormat="false" ht="14.9" hidden="false" customHeight="false" outlineLevel="0" collapsed="false">
      <c r="B18" s="589" t="s">
        <v>431</v>
      </c>
      <c r="C18" s="589"/>
      <c r="D18" s="586" t="s">
        <v>432</v>
      </c>
      <c r="E18" s="586"/>
      <c r="F18" s="586"/>
      <c r="G18" s="586"/>
      <c r="H18" s="586"/>
      <c r="I18" s="586"/>
      <c r="J18" s="586"/>
      <c r="K18" s="422"/>
      <c r="L18" s="422"/>
      <c r="M18" s="422"/>
      <c r="N18" s="422"/>
      <c r="P18" s="545"/>
      <c r="Q18" s="545"/>
    </row>
    <row r="19" customFormat="false" ht="6" hidden="false" customHeight="true" outlineLevel="0" collapsed="false">
      <c r="B19" s="583"/>
      <c r="C19" s="583"/>
      <c r="D19" s="583"/>
      <c r="E19" s="583"/>
      <c r="F19" s="583"/>
      <c r="G19" s="583"/>
      <c r="H19" s="583"/>
      <c r="I19" s="583"/>
      <c r="J19" s="583"/>
      <c r="K19" s="583"/>
      <c r="L19" s="583"/>
      <c r="M19" s="583"/>
      <c r="N19" s="583"/>
      <c r="P19" s="545"/>
      <c r="Q19" s="545"/>
    </row>
    <row r="20" customFormat="false" ht="14.9" hidden="false" customHeight="false" outlineLevel="0" collapsed="false">
      <c r="B20" s="589" t="s">
        <v>433</v>
      </c>
      <c r="C20" s="589"/>
      <c r="D20" s="586" t="s">
        <v>434</v>
      </c>
      <c r="E20" s="586"/>
      <c r="F20" s="586"/>
      <c r="G20" s="586"/>
      <c r="H20" s="586"/>
      <c r="I20" s="586"/>
      <c r="J20" s="586"/>
      <c r="K20" s="422"/>
      <c r="L20" s="422"/>
      <c r="M20" s="422"/>
      <c r="N20" s="422"/>
      <c r="P20" s="545"/>
      <c r="Q20" s="545"/>
    </row>
    <row r="21" customFormat="false" ht="6" hidden="false" customHeight="true" outlineLevel="0" collapsed="false"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P21" s="545"/>
      <c r="Q21" s="545"/>
    </row>
    <row r="22" customFormat="false" ht="14.9" hidden="false" customHeight="false" outlineLevel="0" collapsed="false">
      <c r="B22" s="589" t="s">
        <v>435</v>
      </c>
      <c r="C22" s="589"/>
      <c r="D22" s="586" t="s">
        <v>436</v>
      </c>
      <c r="E22" s="586"/>
      <c r="F22" s="586"/>
      <c r="G22" s="586"/>
      <c r="H22" s="586"/>
      <c r="I22" s="586"/>
      <c r="J22" s="586"/>
      <c r="K22" s="422"/>
      <c r="L22" s="422"/>
      <c r="M22" s="422"/>
      <c r="N22" s="422"/>
      <c r="P22" s="545"/>
      <c r="Q22" s="545"/>
    </row>
    <row r="23" customFormat="false" ht="6" hidden="false" customHeight="true" outlineLevel="0" collapsed="false">
      <c r="B23" s="422"/>
      <c r="C23" s="422"/>
      <c r="D23" s="422"/>
      <c r="E23" s="422"/>
      <c r="F23" s="422"/>
      <c r="G23" s="422"/>
      <c r="H23" s="422"/>
      <c r="I23" s="422"/>
      <c r="J23" s="422"/>
      <c r="K23" s="422"/>
      <c r="L23" s="422"/>
      <c r="M23" s="422"/>
      <c r="N23" s="422"/>
      <c r="P23" s="545"/>
      <c r="Q23" s="545"/>
    </row>
    <row r="24" customFormat="false" ht="16.15" hidden="false" customHeight="false" outlineLevel="0" collapsed="false">
      <c r="B24" s="576" t="s">
        <v>249</v>
      </c>
      <c r="C24" s="576"/>
      <c r="D24" s="576"/>
      <c r="E24" s="576"/>
      <c r="F24" s="422"/>
      <c r="G24" s="422"/>
      <c r="H24" s="422"/>
      <c r="I24" s="422"/>
      <c r="J24" s="422"/>
      <c r="K24" s="422"/>
      <c r="L24" s="422"/>
      <c r="M24" s="422"/>
      <c r="N24" s="422"/>
      <c r="P24" s="591" t="s">
        <v>437</v>
      </c>
      <c r="Q24" s="591"/>
    </row>
    <row r="25" customFormat="false" ht="14.9" hidden="false" customHeight="false" outlineLevel="0" collapsed="false">
      <c r="B25" s="587" t="s">
        <v>438</v>
      </c>
      <c r="C25" s="587"/>
      <c r="D25" s="587"/>
      <c r="E25" s="586" t="s">
        <v>439</v>
      </c>
      <c r="F25" s="586"/>
      <c r="G25" s="586"/>
      <c r="H25" s="586"/>
      <c r="I25" s="586"/>
      <c r="J25" s="586"/>
      <c r="K25" s="586"/>
      <c r="L25" s="586"/>
      <c r="M25" s="586"/>
      <c r="N25" s="586"/>
      <c r="P25" s="592" t="s">
        <v>440</v>
      </c>
      <c r="Q25" s="592"/>
      <c r="X25" s="0" t="str">
        <f aca="false">"Наша стратегия заключается "&amp;E25&amp;"."</f>
        <v>Наша стратегия заключается в проведении широкомасштабных рекламных кампаний в районе, где располагается наша пиццерия.</v>
      </c>
    </row>
    <row r="26" customFormat="false" ht="6" hidden="false" customHeight="true" outlineLevel="0" collapsed="false">
      <c r="B26" s="422"/>
      <c r="C26" s="422"/>
      <c r="D26" s="422"/>
      <c r="E26" s="422"/>
      <c r="F26" s="422"/>
      <c r="G26" s="422"/>
      <c r="H26" s="422"/>
      <c r="I26" s="422"/>
      <c r="J26" s="422"/>
      <c r="K26" s="422"/>
      <c r="L26" s="422"/>
      <c r="M26" s="422"/>
      <c r="N26" s="422"/>
      <c r="P26" s="551"/>
      <c r="Q26" s="545"/>
    </row>
    <row r="27" customFormat="false" ht="14.9" hidden="false" customHeight="false" outlineLevel="0" collapsed="false">
      <c r="B27" s="587" t="s">
        <v>441</v>
      </c>
      <c r="C27" s="587"/>
      <c r="D27" s="587"/>
      <c r="E27" s="586" t="s">
        <v>442</v>
      </c>
      <c r="F27" s="586"/>
      <c r="G27" s="586"/>
      <c r="H27" s="586"/>
      <c r="I27" s="586"/>
      <c r="J27" s="586"/>
      <c r="K27" s="586"/>
      <c r="L27" s="586"/>
      <c r="M27" s="586"/>
      <c r="N27" s="586"/>
      <c r="P27" s="592" t="s">
        <v>443</v>
      </c>
      <c r="Q27" s="592"/>
      <c r="X27" s="0" t="str">
        <f aca="false">"Основные элементы стратегии - это "&amp;E27&amp;"."</f>
        <v>Основные элементы стратегии - это раздача листовок на улице, в близстоящих офисах и у учебных заведений, реклама в Интернет.</v>
      </c>
    </row>
    <row r="28" customFormat="false" ht="6" hidden="false" customHeight="true" outlineLevel="0" collapsed="false">
      <c r="B28" s="422"/>
      <c r="C28" s="422"/>
      <c r="D28" s="422"/>
      <c r="E28" s="422"/>
      <c r="F28" s="422"/>
      <c r="G28" s="422"/>
      <c r="H28" s="422"/>
      <c r="I28" s="422"/>
      <c r="J28" s="422"/>
      <c r="K28" s="422"/>
      <c r="L28" s="422"/>
      <c r="M28" s="422"/>
      <c r="N28" s="422"/>
      <c r="P28" s="551"/>
      <c r="Q28" s="545"/>
    </row>
    <row r="29" customFormat="false" ht="14.9" hidden="false" customHeight="false" outlineLevel="0" collapsed="false">
      <c r="B29" s="587" t="s">
        <v>444</v>
      </c>
      <c r="C29" s="587"/>
      <c r="D29" s="587"/>
      <c r="E29" s="587"/>
      <c r="F29" s="587"/>
      <c r="G29" s="586" t="s">
        <v>445</v>
      </c>
      <c r="H29" s="586"/>
      <c r="I29" s="586"/>
      <c r="J29" s="586"/>
      <c r="K29" s="586"/>
      <c r="L29" s="586"/>
      <c r="M29" s="586"/>
      <c r="N29" s="586"/>
      <c r="P29" s="592" t="s">
        <v>446</v>
      </c>
      <c r="Q29" s="592"/>
      <c r="X29" s="0" t="str">
        <f aca="false">"Основным посланием нашим потенциальным клиента будет: "&amp;G29&amp;"."</f>
        <v>Основным посланием нашим потенциальным клиента будет: вкусная пицца на основе секретного соуса ведущего итальянского пиццайоло по доступной цене.</v>
      </c>
    </row>
    <row r="30" customFormat="false" ht="6" hidden="false" customHeight="true" outlineLevel="0" collapsed="false">
      <c r="B30" s="422"/>
      <c r="C30" s="422"/>
      <c r="D30" s="422"/>
      <c r="E30" s="422"/>
      <c r="F30" s="422"/>
      <c r="G30" s="422"/>
      <c r="H30" s="422"/>
      <c r="I30" s="422"/>
      <c r="J30" s="422"/>
      <c r="K30" s="422"/>
      <c r="L30" s="422"/>
      <c r="M30" s="422"/>
      <c r="N30" s="422"/>
      <c r="P30" s="551"/>
      <c r="Q30" s="545"/>
    </row>
    <row r="31" customFormat="false" ht="14.9" hidden="false" customHeight="false" outlineLevel="0" collapsed="false">
      <c r="B31" s="587" t="s">
        <v>447</v>
      </c>
      <c r="C31" s="587"/>
      <c r="D31" s="587"/>
      <c r="E31" s="587"/>
      <c r="F31" s="586" t="s">
        <v>448</v>
      </c>
      <c r="G31" s="586"/>
      <c r="H31" s="586"/>
      <c r="I31" s="586"/>
      <c r="J31" s="586"/>
      <c r="K31" s="586"/>
      <c r="L31" s="586"/>
      <c r="M31" s="586"/>
      <c r="N31" s="586"/>
      <c r="P31" s="592" t="s">
        <v>449</v>
      </c>
      <c r="Q31" s="592"/>
      <c r="X31" s="0" t="str">
        <f aca="false">"Эффективность нашей стратегии заключается в "&amp;F31&amp;"."</f>
        <v>Эффективность нашей стратегии заключается в предложении пиццы приготовленной исключительно по итальянскому рецепту из качественных продуктов.</v>
      </c>
    </row>
    <row r="32" customFormat="false" ht="6" hidden="false" customHeight="true" outlineLevel="0" collapsed="false">
      <c r="B32" s="422"/>
      <c r="C32" s="422"/>
      <c r="D32" s="422"/>
      <c r="E32" s="422"/>
      <c r="F32" s="422"/>
      <c r="G32" s="422"/>
      <c r="H32" s="422"/>
      <c r="I32" s="422"/>
      <c r="J32" s="422"/>
      <c r="K32" s="422"/>
      <c r="L32" s="422"/>
      <c r="M32" s="422"/>
      <c r="N32" s="422"/>
      <c r="P32" s="551"/>
      <c r="Q32" s="545"/>
    </row>
    <row r="33" customFormat="false" ht="14.9" hidden="false" customHeight="false" outlineLevel="0" collapsed="false">
      <c r="B33" s="587" t="s">
        <v>450</v>
      </c>
      <c r="C33" s="587"/>
      <c r="D33" s="587"/>
      <c r="E33" s="587"/>
      <c r="F33" s="586" t="s">
        <v>451</v>
      </c>
      <c r="G33" s="586"/>
      <c r="H33" s="586"/>
      <c r="I33" s="586"/>
      <c r="J33" s="586"/>
      <c r="K33" s="586"/>
      <c r="L33" s="586"/>
      <c r="M33" s="586"/>
      <c r="N33" s="586"/>
      <c r="P33" s="592" t="s">
        <v>452</v>
      </c>
      <c r="Q33" s="592"/>
      <c r="X33" s="0" t="str">
        <f aca="false">"Основной способ реализации нашей продукции - это "&amp;F33&amp;"."</f>
        <v>Основной способ реализации нашей продукции - это продажа пиццы на вынос из нашей пиццерии, а также заключим договор с местной фирмой по доставке еды.</v>
      </c>
    </row>
    <row r="34" customFormat="false" ht="16.15" hidden="false" customHeight="false" outlineLevel="0" collapsed="false">
      <c r="B34" s="576" t="s">
        <v>250</v>
      </c>
      <c r="C34" s="576"/>
      <c r="D34" s="576"/>
      <c r="E34" s="576"/>
      <c r="F34" s="422"/>
      <c r="G34" s="422"/>
      <c r="H34" s="422"/>
      <c r="I34" s="422"/>
      <c r="J34" s="422"/>
      <c r="K34" s="422"/>
      <c r="L34" s="422"/>
      <c r="M34" s="422"/>
      <c r="N34" s="422"/>
      <c r="P34" s="551"/>
      <c r="Q34" s="545"/>
    </row>
    <row r="35" customFormat="false" ht="14.9" hidden="false" customHeight="false" outlineLevel="0" collapsed="false">
      <c r="B35" s="587" t="s">
        <v>453</v>
      </c>
      <c r="C35" s="587"/>
      <c r="D35" s="587"/>
      <c r="E35" s="587"/>
      <c r="F35" s="586" t="s">
        <v>454</v>
      </c>
      <c r="G35" s="586"/>
      <c r="H35" s="586"/>
      <c r="I35" s="586"/>
      <c r="J35" s="586"/>
      <c r="K35" s="586"/>
      <c r="L35" s="586"/>
      <c r="M35" s="586"/>
      <c r="N35" s="586"/>
      <c r="P35" s="592" t="s">
        <v>455</v>
      </c>
      <c r="Q35" s="592"/>
      <c r="X35" s="0" t="str">
        <f aca="false">"Главным образом наша реклама будет адресована "&amp;F35&amp;"."</f>
        <v>Главным образом наша реклама будет адресована студентам и сотрудникам офисов, а также молодым родителям и их детям.</v>
      </c>
    </row>
    <row r="36" customFormat="false" ht="6" hidden="false" customHeight="true" outlineLevel="0" collapsed="false">
      <c r="B36" s="422"/>
      <c r="C36" s="422"/>
      <c r="D36" s="422"/>
      <c r="E36" s="422"/>
      <c r="F36" s="422"/>
      <c r="G36" s="422"/>
      <c r="H36" s="422"/>
      <c r="I36" s="422"/>
      <c r="J36" s="422"/>
      <c r="K36" s="422"/>
      <c r="L36" s="422"/>
      <c r="M36" s="422"/>
      <c r="N36" s="422"/>
      <c r="P36" s="551"/>
      <c r="Q36" s="545"/>
      <c r="R36" s="422"/>
      <c r="S36" s="422"/>
      <c r="T36" s="422"/>
      <c r="U36" s="422"/>
      <c r="V36" s="422"/>
      <c r="W36" s="422"/>
      <c r="X36" s="422"/>
      <c r="Y36" s="422"/>
      <c r="Z36" s="422"/>
      <c r="AA36" s="422"/>
      <c r="AB36" s="422"/>
      <c r="AC36" s="422"/>
      <c r="AD36" s="422"/>
      <c r="AE36" s="422"/>
      <c r="AF36" s="422"/>
      <c r="AG36" s="422"/>
      <c r="AH36" s="422"/>
      <c r="AI36" s="422"/>
      <c r="AJ36" s="422"/>
      <c r="AK36" s="422"/>
      <c r="AL36" s="422"/>
      <c r="AM36" s="422"/>
      <c r="AN36" s="422"/>
      <c r="AO36" s="422"/>
      <c r="AP36" s="422"/>
      <c r="AQ36" s="422"/>
      <c r="AR36" s="422"/>
      <c r="AS36" s="422"/>
      <c r="AT36" s="422"/>
      <c r="AU36" s="422"/>
      <c r="AV36" s="422"/>
      <c r="AW36" s="422"/>
      <c r="AX36" s="422"/>
      <c r="AY36" s="422"/>
      <c r="AZ36" s="422"/>
      <c r="BA36" s="422"/>
      <c r="BB36" s="422"/>
      <c r="BC36" s="422"/>
      <c r="BD36" s="422"/>
      <c r="BE36" s="422"/>
      <c r="BF36" s="422"/>
      <c r="BG36" s="422"/>
      <c r="BH36" s="422"/>
      <c r="BI36" s="422"/>
      <c r="BJ36" s="422"/>
      <c r="BK36" s="422"/>
      <c r="BL36" s="422"/>
    </row>
    <row r="37" customFormat="false" ht="14.9" hidden="false" customHeight="false" outlineLevel="0" collapsed="false">
      <c r="B37" s="587" t="s">
        <v>456</v>
      </c>
      <c r="C37" s="587"/>
      <c r="D37" s="587"/>
      <c r="E37" s="587"/>
      <c r="F37" s="586" t="s">
        <v>457</v>
      </c>
      <c r="G37" s="586"/>
      <c r="H37" s="586"/>
      <c r="I37" s="586"/>
      <c r="J37" s="586"/>
      <c r="K37" s="586"/>
      <c r="L37" s="586"/>
      <c r="M37" s="586"/>
      <c r="N37" s="586"/>
      <c r="P37" s="592" t="s">
        <v>458</v>
      </c>
      <c r="Q37" s="592"/>
      <c r="X37" s="0" t="str">
        <f aca="false">"Для привлечения потенциальных клиентов, мы мспользовать такие источники рекламы, как "&amp;F37&amp;"."</f>
        <v>Для привлечения потенциальных клиентов, мы мспользовать такие источники рекламы, как Интернет, билборды, ролики в общественном транспорте.</v>
      </c>
    </row>
    <row r="38" customFormat="false" ht="6" hidden="false" customHeight="true" outlineLevel="0" collapsed="false">
      <c r="B38" s="422"/>
      <c r="C38" s="422"/>
      <c r="D38" s="422"/>
      <c r="E38" s="422"/>
      <c r="F38" s="422"/>
      <c r="G38" s="422"/>
      <c r="H38" s="422"/>
      <c r="I38" s="422"/>
      <c r="J38" s="422"/>
      <c r="K38" s="422"/>
      <c r="L38" s="422"/>
      <c r="M38" s="422"/>
      <c r="N38" s="422"/>
      <c r="P38" s="551"/>
      <c r="Q38" s="545"/>
      <c r="R38" s="422"/>
      <c r="S38" s="422"/>
      <c r="T38" s="422"/>
      <c r="U38" s="422"/>
      <c r="V38" s="422"/>
      <c r="W38" s="422"/>
      <c r="X38" s="422"/>
      <c r="Y38" s="422"/>
      <c r="Z38" s="422"/>
      <c r="AA38" s="422"/>
      <c r="AB38" s="422"/>
      <c r="AC38" s="422"/>
      <c r="AD38" s="422"/>
      <c r="AE38" s="422"/>
      <c r="AF38" s="422"/>
      <c r="AG38" s="422"/>
      <c r="AH38" s="422"/>
      <c r="AI38" s="422"/>
      <c r="AJ38" s="422"/>
      <c r="AK38" s="422"/>
      <c r="AL38" s="422"/>
      <c r="AM38" s="422"/>
      <c r="AN38" s="422"/>
      <c r="AO38" s="422"/>
      <c r="AP38" s="422"/>
      <c r="AQ38" s="422"/>
      <c r="AR38" s="422"/>
      <c r="AS38" s="422"/>
      <c r="AT38" s="422"/>
      <c r="AU38" s="422"/>
      <c r="AV38" s="422"/>
      <c r="AW38" s="422"/>
      <c r="AX38" s="422"/>
      <c r="AY38" s="422"/>
      <c r="AZ38" s="422"/>
      <c r="BA38" s="422"/>
      <c r="BB38" s="422"/>
      <c r="BC38" s="422"/>
      <c r="BD38" s="422"/>
      <c r="BE38" s="422"/>
      <c r="BF38" s="422"/>
      <c r="BG38" s="422"/>
      <c r="BH38" s="422"/>
      <c r="BI38" s="422"/>
      <c r="BJ38" s="422"/>
      <c r="BK38" s="422"/>
      <c r="BL38" s="422"/>
    </row>
    <row r="39" customFormat="false" ht="16.15" hidden="false" customHeight="false" outlineLevel="0" collapsed="false">
      <c r="B39" s="576" t="s">
        <v>251</v>
      </c>
      <c r="C39" s="576"/>
      <c r="D39" s="576"/>
      <c r="E39" s="576"/>
      <c r="F39" s="422"/>
      <c r="G39" s="422"/>
      <c r="H39" s="422"/>
      <c r="I39" s="422"/>
      <c r="J39" s="422"/>
      <c r="K39" s="422"/>
      <c r="L39" s="422"/>
      <c r="M39" s="422"/>
      <c r="N39" s="422"/>
      <c r="P39" s="551"/>
      <c r="Q39" s="545"/>
    </row>
    <row r="40" customFormat="false" ht="14.9" hidden="false" customHeight="false" outlineLevel="0" collapsed="false">
      <c r="B40" s="587" t="s">
        <v>459</v>
      </c>
      <c r="C40" s="587"/>
      <c r="D40" s="587"/>
      <c r="E40" s="587"/>
      <c r="F40" s="586" t="s">
        <v>460</v>
      </c>
      <c r="G40" s="586"/>
      <c r="H40" s="586"/>
      <c r="I40" s="586"/>
      <c r="J40" s="586"/>
      <c r="K40" s="586"/>
      <c r="L40" s="586"/>
      <c r="M40" s="586"/>
      <c r="N40" s="586"/>
      <c r="P40" s="592" t="s">
        <v>458</v>
      </c>
      <c r="Q40" s="592"/>
      <c r="X40" s="0" t="str">
        <f aca="false">"С целью увеличения продаж, мы используем такие приемы: "&amp;F40&amp;"."</f>
        <v>С целью увеличения продаж, мы используем такие приемы: при покупке сразу пяти пицц, мы будем предоставлять скидку в 10% от общей суммы покупки.</v>
      </c>
    </row>
    <row r="41" customFormat="false" ht="6" hidden="false" customHeight="true" outlineLevel="0" collapsed="false">
      <c r="B41" s="422"/>
      <c r="C41" s="422"/>
      <c r="D41" s="422"/>
      <c r="E41" s="422"/>
      <c r="F41" s="422"/>
      <c r="G41" s="422"/>
      <c r="H41" s="422"/>
      <c r="I41" s="422"/>
      <c r="J41" s="422"/>
      <c r="K41" s="422"/>
      <c r="L41" s="422"/>
      <c r="M41" s="422"/>
      <c r="N41" s="422"/>
      <c r="P41" s="551"/>
      <c r="Q41" s="545"/>
    </row>
    <row r="42" customFormat="false" ht="14.9" hidden="false" customHeight="false" outlineLevel="0" collapsed="false">
      <c r="B42" s="587" t="s">
        <v>461</v>
      </c>
      <c r="C42" s="587"/>
      <c r="D42" s="587"/>
      <c r="E42" s="586" t="s">
        <v>462</v>
      </c>
      <c r="F42" s="586"/>
      <c r="G42" s="586"/>
      <c r="H42" s="586"/>
      <c r="I42" s="586"/>
      <c r="J42" s="586"/>
      <c r="K42" s="586"/>
      <c r="L42" s="586"/>
      <c r="M42" s="586"/>
      <c r="N42" s="586"/>
      <c r="P42" s="592" t="s">
        <v>463</v>
      </c>
      <c r="Q42" s="592"/>
      <c r="X42" s="0" t="str">
        <f aca="false">"Периодичность проведения таких акций: "&amp;E42&amp;"."</f>
        <v>Периодичность проведения таких акций: акция будет действовать на постоянной основе.</v>
      </c>
    </row>
    <row r="43" customFormat="false" ht="6" hidden="false" customHeight="true" outlineLevel="0" collapsed="false">
      <c r="B43" s="422"/>
      <c r="C43" s="422"/>
      <c r="D43" s="422"/>
      <c r="E43" s="422"/>
      <c r="F43" s="422"/>
      <c r="G43" s="422"/>
      <c r="H43" s="422"/>
      <c r="I43" s="422"/>
      <c r="J43" s="422"/>
      <c r="K43" s="422"/>
      <c r="L43" s="422"/>
      <c r="M43" s="422"/>
      <c r="N43" s="422"/>
      <c r="P43" s="551"/>
      <c r="Q43" s="545"/>
    </row>
    <row r="44" customFormat="false" ht="14.9" hidden="false" customHeight="false" outlineLevel="0" collapsed="false">
      <c r="B44" s="587" t="s">
        <v>464</v>
      </c>
      <c r="C44" s="587"/>
      <c r="D44" s="587"/>
      <c r="E44" s="587"/>
      <c r="F44" s="587"/>
      <c r="G44" s="586" t="s">
        <v>465</v>
      </c>
      <c r="H44" s="586"/>
      <c r="I44" s="586"/>
      <c r="J44" s="586"/>
      <c r="K44" s="586"/>
      <c r="L44" s="586"/>
      <c r="M44" s="586"/>
      <c r="N44" s="586"/>
      <c r="P44" s="592" t="s">
        <v>466</v>
      </c>
      <c r="Q44" s="592"/>
      <c r="X44" s="0" t="str">
        <f aca="false">"О чём мы будем информировать наших клиентов, используя такие источники, как "&amp;G44&amp;"."</f>
        <v>О чём мы будем информировать наших клиентов, используя такие источники, как почтовые рассылки через Интернет, раздача флаеров на улице и возле офисов.</v>
      </c>
    </row>
    <row r="45" customFormat="false" ht="6" hidden="false" customHeight="true" outlineLevel="0" collapsed="false">
      <c r="B45" s="422"/>
      <c r="C45" s="422"/>
      <c r="D45" s="422"/>
      <c r="E45" s="422"/>
      <c r="F45" s="422"/>
      <c r="G45" s="422"/>
      <c r="H45" s="422"/>
      <c r="I45" s="422"/>
      <c r="J45" s="422"/>
      <c r="K45" s="422"/>
      <c r="L45" s="422"/>
      <c r="M45" s="422"/>
      <c r="N45" s="422"/>
      <c r="P45" s="545"/>
      <c r="Q45" s="545"/>
    </row>
  </sheetData>
  <mergeCells count="56">
    <mergeCell ref="B1:N1"/>
    <mergeCell ref="P1:Q1"/>
    <mergeCell ref="Q2:Q6"/>
    <mergeCell ref="B3:C3"/>
    <mergeCell ref="B5:E5"/>
    <mergeCell ref="B6:H6"/>
    <mergeCell ref="I6:J6"/>
    <mergeCell ref="K6:N6"/>
    <mergeCell ref="B7:N7"/>
    <mergeCell ref="C8:D8"/>
    <mergeCell ref="Q8:Q10"/>
    <mergeCell ref="B12:C12"/>
    <mergeCell ref="D12:H12"/>
    <mergeCell ref="B14:D14"/>
    <mergeCell ref="B16:C16"/>
    <mergeCell ref="D16:J16"/>
    <mergeCell ref="B18:C18"/>
    <mergeCell ref="D18:J18"/>
    <mergeCell ref="B20:C20"/>
    <mergeCell ref="D20:J20"/>
    <mergeCell ref="B22:C22"/>
    <mergeCell ref="D22:J22"/>
    <mergeCell ref="B24:E24"/>
    <mergeCell ref="P24:Q24"/>
    <mergeCell ref="B25:D25"/>
    <mergeCell ref="E25:N25"/>
    <mergeCell ref="P25:Q25"/>
    <mergeCell ref="B27:D27"/>
    <mergeCell ref="E27:N27"/>
    <mergeCell ref="P27:Q27"/>
    <mergeCell ref="B29:F29"/>
    <mergeCell ref="G29:N29"/>
    <mergeCell ref="P29:Q29"/>
    <mergeCell ref="B31:E31"/>
    <mergeCell ref="F31:N31"/>
    <mergeCell ref="P31:Q31"/>
    <mergeCell ref="B33:E33"/>
    <mergeCell ref="F33:N33"/>
    <mergeCell ref="P33:Q33"/>
    <mergeCell ref="B34:E34"/>
    <mergeCell ref="B35:E35"/>
    <mergeCell ref="F35:N35"/>
    <mergeCell ref="P35:Q35"/>
    <mergeCell ref="B37:E37"/>
    <mergeCell ref="F37:N37"/>
    <mergeCell ref="P37:Q37"/>
    <mergeCell ref="B39:E39"/>
    <mergeCell ref="B40:E40"/>
    <mergeCell ref="F40:N40"/>
    <mergeCell ref="P40:Q40"/>
    <mergeCell ref="B42:D42"/>
    <mergeCell ref="E42:N42"/>
    <mergeCell ref="P42:Q42"/>
    <mergeCell ref="B44:F44"/>
    <mergeCell ref="G44:N44"/>
    <mergeCell ref="P44:Q44"/>
  </mergeCells>
  <conditionalFormatting sqref="D3">
    <cfRule type="cellIs" priority="2" operator="greaterThan" aboveAverage="0" equalAverage="0" bottom="0" percent="0" rank="0" text="" dxfId="3762">
      <formula>0</formula>
    </cfRule>
  </conditionalFormatting>
  <conditionalFormatting sqref="O7">
    <cfRule type="cellIs" priority="3" operator="greaterThan" aboveAverage="0" equalAverage="0" bottom="0" percent="0" rank="0" text="" dxfId="3763">
      <formula>0</formula>
    </cfRule>
  </conditionalFormatting>
  <conditionalFormatting sqref="K6">
    <cfRule type="expression" priority="4" aboveAverage="0" equalAverage="0" bottom="0" percent="0" rank="0" text="" dxfId="3764">
      <formula>$D$3="B2C"</formula>
    </cfRule>
  </conditionalFormatting>
  <conditionalFormatting sqref="B7:N7">
    <cfRule type="expression" priority="5" aboveAverage="0" equalAverage="0" bottom="0" percent="0" rank="0" text="" dxfId="3765">
      <formula>$D$3="B2C"</formula>
    </cfRule>
    <cfRule type="cellIs" priority="6" operator="greaterThan" aboveAverage="0" equalAverage="0" bottom="0" percent="0" rank="0" text="" dxfId="3766">
      <formula>0</formula>
    </cfRule>
    <cfRule type="cellIs" priority="7" operator="greaterThan" aboveAverage="0" equalAverage="0" bottom="0" percent="0" rank="0" text="" dxfId="3767">
      <formula>0</formula>
    </cfRule>
  </conditionalFormatting>
  <conditionalFormatting sqref="I6:J6">
    <cfRule type="expression" priority="8" aboveAverage="0" equalAverage="0" bottom="0" percent="0" rank="0" text="" dxfId="3768">
      <formula>$D$3="B2C"</formula>
    </cfRule>
    <cfRule type="cellIs" priority="9" operator="greaterThan" aboveAverage="0" equalAverage="0" bottom="0" percent="0" rank="0" text="" dxfId="3769">
      <formula>0</formula>
    </cfRule>
  </conditionalFormatting>
  <conditionalFormatting sqref="C8:D8 C10 D12:H12 E14 D16:J16 D18:J18 D20:J20 D22:J22">
    <cfRule type="cellIs" priority="10" operator="greaterThan" aboveAverage="0" equalAverage="0" bottom="0" percent="0" rank="0" text="" dxfId="3770">
      <formula>0</formula>
    </cfRule>
  </conditionalFormatting>
  <conditionalFormatting sqref="C8:D8 C10 D12:H12 E14 D16:J16 D18:J18 D20:J20 D22:J22">
    <cfRule type="expression" priority="11" aboveAverage="0" equalAverage="0" bottom="0" percent="0" rank="0" text="" dxfId="3771">
      <formula>$D$3="B2B"</formula>
    </cfRule>
  </conditionalFormatting>
  <conditionalFormatting sqref="B8:B11 B12:C12 B14:D14 B16:C16 C9:H9 C11:N11 B13:N13 B15:N15 B18:C18 B17:N17 B20:C20 B19:N19 B22:C22 B21:N21">
    <cfRule type="expression" priority="12" aboveAverage="0" equalAverage="0" bottom="0" percent="0" rank="0" text="" dxfId="3772">
      <formula>$D$3="B2B"</formula>
    </cfRule>
  </conditionalFormatting>
  <conditionalFormatting sqref="D10 F14">
    <cfRule type="expression" priority="13" aboveAverage="0" equalAverage="0" bottom="0" percent="0" rank="0" text="" dxfId="3773">
      <formula>$D$3="B2B"</formula>
    </cfRule>
  </conditionalFormatting>
  <conditionalFormatting sqref="E25:N25 E27:N27 G29:N29 F31:N31 F33:N33 F35:N35 F37:N37 F40:N40 E42:N42 G44:N44">
    <cfRule type="cellIs" priority="14" operator="greaterThan" aboveAverage="0" equalAverage="0" bottom="0" percent="0" rank="0" text="" dxfId="3774">
      <formula>0</formula>
    </cfRule>
  </conditionalFormatting>
  <dataValidations count="3">
    <dataValidation allowBlank="true" operator="equal" showDropDown="false" showErrorMessage="true" showInputMessage="true" sqref="D3" type="list">
      <formula1>$X$2:$X$3</formula1>
      <formula2>0</formula2>
    </dataValidation>
    <dataValidation allowBlank="true" operator="equal" showDropDown="false" showErrorMessage="true" showInputMessage="true" sqref="I6" type="list">
      <formula1>$Y$2:$Y$5</formula1>
      <formula2>0</formula2>
    </dataValidation>
    <dataValidation allowBlank="true" operator="equal" showDropDown="false" showErrorMessage="true" showInputMessage="true" sqref="C8 E8" type="list">
      <formula1>$Z$2:$Z$4</formula1>
      <formula2>0</formula2>
    </dataValidation>
  </dataValidations>
  <printOptions headings="false" gridLines="false" gridLinesSet="true" horizontalCentered="tru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BL205"/>
  <sheetViews>
    <sheetView showFormulas="false" showGridLines="true" showRowColHeaders="true" showZeros="fals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9.14453125" defaultRowHeight="13.8" zeroHeight="true" outlineLevelRow="0" outlineLevelCol="0"/>
  <cols>
    <col collapsed="false" customWidth="true" hidden="false" outlineLevel="0" max="1" min="1" style="83" width="1.71"/>
    <col collapsed="false" customWidth="true" hidden="false" outlineLevel="0" max="2" min="2" style="489" width="37.71"/>
    <col collapsed="false" customWidth="true" hidden="false" outlineLevel="0" max="4" min="3" style="489" width="10.85"/>
    <col collapsed="false" customWidth="true" hidden="false" outlineLevel="0" max="5" min="5" style="489" width="11.85"/>
    <col collapsed="false" customWidth="true" hidden="false" outlineLevel="0" max="59" min="6" style="489" width="2.71"/>
    <col collapsed="false" customWidth="true" hidden="false" outlineLevel="0" max="60" min="60" style="83" width="1.71"/>
    <col collapsed="false" customWidth="false" hidden="true" outlineLevel="0" max="64" min="61" style="489" width="9.14"/>
    <col collapsed="false" customWidth="false" hidden="true" outlineLevel="0" max="1024" min="65" style="0" width="9.14"/>
  </cols>
  <sheetData>
    <row r="1" customFormat="false" ht="6" hidden="false" customHeight="true" outlineLevel="0" collapsed="false">
      <c r="B1" s="83"/>
      <c r="C1" s="78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I1" s="83"/>
      <c r="BJ1" s="83"/>
      <c r="BK1" s="83"/>
      <c r="BL1" s="83" t="s">
        <v>467</v>
      </c>
    </row>
    <row r="2" customFormat="false" ht="39.75" hidden="false" customHeight="true" outlineLevel="0" collapsed="false">
      <c r="B2" s="593" t="s">
        <v>468</v>
      </c>
      <c r="C2" s="593"/>
      <c r="D2" s="593"/>
      <c r="E2" s="593"/>
      <c r="F2" s="593"/>
      <c r="G2" s="593"/>
      <c r="H2" s="593"/>
      <c r="I2" s="593"/>
      <c r="J2" s="593"/>
      <c r="K2" s="593"/>
      <c r="L2" s="593"/>
      <c r="M2" s="593"/>
      <c r="N2" s="593"/>
      <c r="O2" s="593"/>
      <c r="P2" s="593"/>
      <c r="Q2" s="593"/>
      <c r="R2" s="593"/>
      <c r="S2" s="593"/>
      <c r="T2" s="593"/>
      <c r="U2" s="593"/>
      <c r="V2" s="593"/>
      <c r="W2" s="593"/>
      <c r="X2" s="593"/>
      <c r="Y2" s="593"/>
      <c r="Z2" s="593"/>
      <c r="AA2" s="593"/>
      <c r="AB2" s="593"/>
      <c r="AC2" s="593"/>
      <c r="AD2" s="593"/>
      <c r="AE2" s="593"/>
      <c r="AF2" s="593"/>
      <c r="AG2" s="593"/>
      <c r="AH2" s="593"/>
      <c r="AI2" s="593"/>
      <c r="AJ2" s="593"/>
      <c r="AK2" s="593"/>
      <c r="AL2" s="593"/>
      <c r="AM2" s="593"/>
      <c r="AN2" s="593"/>
      <c r="AO2" s="593"/>
      <c r="AP2" s="593"/>
      <c r="AQ2" s="593"/>
      <c r="AR2" s="593"/>
      <c r="AS2" s="593"/>
      <c r="AT2" s="593"/>
      <c r="AU2" s="593"/>
      <c r="AV2" s="593"/>
      <c r="AW2" s="593"/>
      <c r="AX2" s="593"/>
      <c r="AY2" s="593"/>
      <c r="AZ2" s="593"/>
      <c r="BA2" s="593"/>
      <c r="BB2" s="593"/>
      <c r="BC2" s="593"/>
      <c r="BD2" s="593"/>
      <c r="BE2" s="593"/>
      <c r="BF2" s="593"/>
      <c r="BG2" s="593"/>
      <c r="BL2" s="594" t="n">
        <v>42005</v>
      </c>
    </row>
    <row r="3" customFormat="false" ht="29.25" hidden="false" customHeight="true" outlineLevel="0" collapsed="false">
      <c r="B3" s="595" t="s">
        <v>469</v>
      </c>
      <c r="C3" s="596" t="s">
        <v>470</v>
      </c>
      <c r="D3" s="597" t="s">
        <v>471</v>
      </c>
      <c r="E3" s="598" t="s">
        <v>472</v>
      </c>
      <c r="F3" s="599" t="n">
        <v>42217</v>
      </c>
      <c r="G3" s="599"/>
      <c r="H3" s="599"/>
      <c r="I3" s="600" t="n">
        <f aca="false">DATE(YEAR(F3),MONTH(F3)+1,DAY(F3))</f>
        <v>42248</v>
      </c>
      <c r="J3" s="600"/>
      <c r="K3" s="600"/>
      <c r="L3" s="600" t="n">
        <f aca="false">DATE(YEAR(I3),MONTH(I3)+1,DAY(I3))</f>
        <v>42278</v>
      </c>
      <c r="M3" s="600"/>
      <c r="N3" s="600"/>
      <c r="O3" s="600" t="n">
        <f aca="false">DATE(YEAR(L3),MONTH(L3)+1,DAY(L3))</f>
        <v>42309</v>
      </c>
      <c r="P3" s="600"/>
      <c r="Q3" s="600"/>
      <c r="R3" s="601" t="n">
        <f aca="false">DATE(YEAR(O3),MONTH(O3)+1,DAY(O3))</f>
        <v>42339</v>
      </c>
      <c r="S3" s="601"/>
      <c r="T3" s="601"/>
      <c r="U3" s="601" t="n">
        <f aca="false">DATE(YEAR(R3),MONTH(R3)+1,DAY(R3))</f>
        <v>42370</v>
      </c>
      <c r="V3" s="601"/>
      <c r="W3" s="601"/>
      <c r="X3" s="601" t="n">
        <f aca="false">DATE(YEAR(U3),MONTH(U3)+1,DAY(U3))</f>
        <v>42401</v>
      </c>
      <c r="Y3" s="601"/>
      <c r="Z3" s="601"/>
      <c r="AA3" s="601" t="n">
        <f aca="false">DATE(YEAR(X3),MONTH(X3)+1,DAY(X3))</f>
        <v>42430</v>
      </c>
      <c r="AB3" s="601"/>
      <c r="AC3" s="601"/>
      <c r="AD3" s="601" t="n">
        <f aca="false">DATE(YEAR(AA3),MONTH(AA3)+1,DAY(AA3))</f>
        <v>42461</v>
      </c>
      <c r="AE3" s="601"/>
      <c r="AF3" s="601"/>
      <c r="AG3" s="601" t="n">
        <f aca="false">DATE(YEAR(AD3),MONTH(AD3)+1,DAY(AD3))</f>
        <v>42491</v>
      </c>
      <c r="AH3" s="601"/>
      <c r="AI3" s="601"/>
      <c r="AJ3" s="601" t="n">
        <f aca="false">DATE(YEAR(AG3),MONTH(AG3)+1,DAY(AG3))</f>
        <v>42522</v>
      </c>
      <c r="AK3" s="601"/>
      <c r="AL3" s="601"/>
      <c r="AM3" s="600" t="n">
        <f aca="false">DATE(YEAR(AJ3),MONTH(AJ3)+1,DAY(AJ3))</f>
        <v>42552</v>
      </c>
      <c r="AN3" s="600"/>
      <c r="AO3" s="600"/>
      <c r="AP3" s="602" t="n">
        <f aca="false">DATE(YEAR(AM3),MONTH(AM3)+1,DAY(AM3))</f>
        <v>42583</v>
      </c>
      <c r="AQ3" s="602"/>
      <c r="AR3" s="602"/>
      <c r="AS3" s="601" t="n">
        <f aca="false">DATE(YEAR(AP3),MONTH(AP3)+1,DAY(AP3))</f>
        <v>42614</v>
      </c>
      <c r="AT3" s="601"/>
      <c r="AU3" s="601"/>
      <c r="AV3" s="601" t="n">
        <f aca="false">DATE(YEAR(AS3),MONTH(AS3)+1,DAY(AS3))</f>
        <v>42644</v>
      </c>
      <c r="AW3" s="601"/>
      <c r="AX3" s="601"/>
      <c r="AY3" s="601" t="n">
        <f aca="false">DATE(YEAR(AV3),MONTH(AV3)+1,DAY(AV3))</f>
        <v>42675</v>
      </c>
      <c r="AZ3" s="601"/>
      <c r="BA3" s="601"/>
      <c r="BB3" s="601" t="n">
        <f aca="false">DATE(YEAR(AY3),MONTH(AY3)+1,DAY(AY3))</f>
        <v>42705</v>
      </c>
      <c r="BC3" s="601"/>
      <c r="BD3" s="601"/>
      <c r="BE3" s="603" t="n">
        <f aca="false">DATE(YEAR(BB3),MONTH(BB3)+1,DAY(BB3))</f>
        <v>42736</v>
      </c>
      <c r="BF3" s="603"/>
      <c r="BG3" s="603"/>
      <c r="BL3" s="594" t="n">
        <v>42036</v>
      </c>
    </row>
    <row r="4" customFormat="false" ht="16.5" hidden="false" customHeight="true" outlineLevel="0" collapsed="false">
      <c r="A4" s="70"/>
      <c r="B4" s="595"/>
      <c r="C4" s="596"/>
      <c r="D4" s="597"/>
      <c r="E4" s="598"/>
      <c r="F4" s="604" t="n">
        <f aca="false">F3</f>
        <v>42217</v>
      </c>
      <c r="G4" s="605" t="n">
        <f aca="false">F4+10</f>
        <v>42227</v>
      </c>
      <c r="H4" s="605" t="n">
        <f aca="false">F4+20</f>
        <v>42237</v>
      </c>
      <c r="I4" s="606" t="n">
        <f aca="false">I3</f>
        <v>42248</v>
      </c>
      <c r="J4" s="605" t="n">
        <f aca="false">I4+10</f>
        <v>42258</v>
      </c>
      <c r="K4" s="605" t="n">
        <f aca="false">I4+20</f>
        <v>42268</v>
      </c>
      <c r="L4" s="606" t="n">
        <f aca="false">L3</f>
        <v>42278</v>
      </c>
      <c r="M4" s="605" t="n">
        <f aca="false">L4+10</f>
        <v>42288</v>
      </c>
      <c r="N4" s="605" t="n">
        <f aca="false">L4+20</f>
        <v>42298</v>
      </c>
      <c r="O4" s="606" t="n">
        <f aca="false">O3</f>
        <v>42309</v>
      </c>
      <c r="P4" s="605" t="n">
        <f aca="false">O4+10</f>
        <v>42319</v>
      </c>
      <c r="Q4" s="605" t="n">
        <f aca="false">O4+20</f>
        <v>42329</v>
      </c>
      <c r="R4" s="606" t="n">
        <f aca="false">R3</f>
        <v>42339</v>
      </c>
      <c r="S4" s="605" t="n">
        <f aca="false">R4+10</f>
        <v>42349</v>
      </c>
      <c r="T4" s="605" t="n">
        <f aca="false">R4+20</f>
        <v>42359</v>
      </c>
      <c r="U4" s="606" t="n">
        <f aca="false">U3</f>
        <v>42370</v>
      </c>
      <c r="V4" s="605" t="n">
        <f aca="false">U4+10</f>
        <v>42380</v>
      </c>
      <c r="W4" s="605" t="n">
        <f aca="false">U4+20</f>
        <v>42390</v>
      </c>
      <c r="X4" s="606" t="n">
        <f aca="false">X3</f>
        <v>42401</v>
      </c>
      <c r="Y4" s="605" t="n">
        <f aca="false">X4+10</f>
        <v>42411</v>
      </c>
      <c r="Z4" s="605" t="n">
        <f aca="false">X4+20</f>
        <v>42421</v>
      </c>
      <c r="AA4" s="606" t="n">
        <f aca="false">AA3</f>
        <v>42430</v>
      </c>
      <c r="AB4" s="605" t="n">
        <f aca="false">AA4+10</f>
        <v>42440</v>
      </c>
      <c r="AC4" s="605" t="n">
        <f aca="false">AA4+20</f>
        <v>42450</v>
      </c>
      <c r="AD4" s="606" t="n">
        <f aca="false">AD3</f>
        <v>42461</v>
      </c>
      <c r="AE4" s="605" t="n">
        <f aca="false">AD4+10</f>
        <v>42471</v>
      </c>
      <c r="AF4" s="605" t="n">
        <f aca="false">AD4+20</f>
        <v>42481</v>
      </c>
      <c r="AG4" s="606" t="n">
        <f aca="false">AG3</f>
        <v>42491</v>
      </c>
      <c r="AH4" s="605" t="n">
        <f aca="false">AG4+10</f>
        <v>42501</v>
      </c>
      <c r="AI4" s="605" t="n">
        <f aca="false">AG4+20</f>
        <v>42511</v>
      </c>
      <c r="AJ4" s="606" t="n">
        <f aca="false">AJ3</f>
        <v>42522</v>
      </c>
      <c r="AK4" s="605" t="n">
        <f aca="false">AJ4+10</f>
        <v>42532</v>
      </c>
      <c r="AL4" s="605" t="n">
        <f aca="false">AJ4+20</f>
        <v>42542</v>
      </c>
      <c r="AM4" s="606" t="n">
        <f aca="false">AM3</f>
        <v>42552</v>
      </c>
      <c r="AN4" s="605" t="n">
        <f aca="false">AM4+10</f>
        <v>42562</v>
      </c>
      <c r="AO4" s="607" t="n">
        <f aca="false">AM4+20</f>
        <v>42572</v>
      </c>
      <c r="AP4" s="605" t="n">
        <f aca="false">AP3</f>
        <v>42583</v>
      </c>
      <c r="AQ4" s="605" t="n">
        <f aca="false">AP4+10</f>
        <v>42593</v>
      </c>
      <c r="AR4" s="605" t="n">
        <f aca="false">AP4+20</f>
        <v>42603</v>
      </c>
      <c r="AS4" s="606" t="n">
        <f aca="false">AS3</f>
        <v>42614</v>
      </c>
      <c r="AT4" s="605" t="n">
        <f aca="false">AS4+10</f>
        <v>42624</v>
      </c>
      <c r="AU4" s="605" t="n">
        <f aca="false">AS4+20</f>
        <v>42634</v>
      </c>
      <c r="AV4" s="606" t="n">
        <f aca="false">AV3</f>
        <v>42644</v>
      </c>
      <c r="AW4" s="605" t="n">
        <f aca="false">AV4+10</f>
        <v>42654</v>
      </c>
      <c r="AX4" s="605" t="n">
        <f aca="false">AV4+20</f>
        <v>42664</v>
      </c>
      <c r="AY4" s="606" t="n">
        <f aca="false">AY3</f>
        <v>42675</v>
      </c>
      <c r="AZ4" s="605" t="n">
        <f aca="false">AY4+10</f>
        <v>42685</v>
      </c>
      <c r="BA4" s="605" t="n">
        <f aca="false">AY4+20</f>
        <v>42695</v>
      </c>
      <c r="BB4" s="606" t="n">
        <f aca="false">BB3</f>
        <v>42705</v>
      </c>
      <c r="BC4" s="605" t="n">
        <f aca="false">BB4+10</f>
        <v>42715</v>
      </c>
      <c r="BD4" s="605" t="n">
        <f aca="false">BB4+20</f>
        <v>42725</v>
      </c>
      <c r="BE4" s="606" t="n">
        <f aca="false">BE3</f>
        <v>42736</v>
      </c>
      <c r="BF4" s="605" t="n">
        <f aca="false">BE4+10</f>
        <v>42746</v>
      </c>
      <c r="BG4" s="608" t="n">
        <f aca="false">BE4+20</f>
        <v>42756</v>
      </c>
      <c r="BH4" s="70"/>
      <c r="BI4" s="44"/>
      <c r="BJ4" s="44"/>
      <c r="BK4" s="44"/>
      <c r="BL4" s="594" t="n">
        <v>42064</v>
      </c>
    </row>
    <row r="5" customFormat="false" ht="29.25" hidden="false" customHeight="true" outlineLevel="0" collapsed="false">
      <c r="A5" s="39"/>
      <c r="B5" s="609" t="s">
        <v>473</v>
      </c>
      <c r="C5" s="610" t="n">
        <v>42262</v>
      </c>
      <c r="D5" s="611" t="n">
        <v>42277</v>
      </c>
      <c r="E5" s="612" t="n">
        <f aca="false">IF(C5=0,0,D5-C5+1)</f>
        <v>16</v>
      </c>
      <c r="F5" s="613"/>
      <c r="G5" s="614"/>
      <c r="H5" s="615"/>
      <c r="I5" s="616"/>
      <c r="J5" s="614"/>
      <c r="K5" s="615"/>
      <c r="L5" s="616"/>
      <c r="M5" s="614"/>
      <c r="N5" s="615"/>
      <c r="O5" s="617"/>
      <c r="P5" s="618"/>
      <c r="Q5" s="619"/>
      <c r="R5" s="616"/>
      <c r="S5" s="614"/>
      <c r="T5" s="615"/>
      <c r="U5" s="616"/>
      <c r="V5" s="614"/>
      <c r="W5" s="615"/>
      <c r="X5" s="616"/>
      <c r="Y5" s="614"/>
      <c r="Z5" s="615"/>
      <c r="AA5" s="616"/>
      <c r="AB5" s="614"/>
      <c r="AC5" s="615"/>
      <c r="AD5" s="616"/>
      <c r="AE5" s="614"/>
      <c r="AF5" s="615"/>
      <c r="AG5" s="616"/>
      <c r="AH5" s="614"/>
      <c r="AI5" s="615"/>
      <c r="AJ5" s="616"/>
      <c r="AK5" s="614"/>
      <c r="AL5" s="615"/>
      <c r="AM5" s="616"/>
      <c r="AN5" s="614"/>
      <c r="AO5" s="615"/>
      <c r="AP5" s="620"/>
      <c r="AQ5" s="614"/>
      <c r="AR5" s="615"/>
      <c r="AS5" s="616"/>
      <c r="AT5" s="614"/>
      <c r="AU5" s="615"/>
      <c r="AV5" s="616"/>
      <c r="AW5" s="614"/>
      <c r="AX5" s="615"/>
      <c r="AY5" s="616"/>
      <c r="AZ5" s="614"/>
      <c r="BA5" s="615"/>
      <c r="BB5" s="616"/>
      <c r="BC5" s="614"/>
      <c r="BD5" s="615"/>
      <c r="BE5" s="616"/>
      <c r="BF5" s="614"/>
      <c r="BG5" s="621"/>
      <c r="BH5" s="39"/>
      <c r="BI5" s="43"/>
      <c r="BJ5" s="43"/>
      <c r="BK5" s="43"/>
      <c r="BL5" s="594" t="n">
        <v>42095</v>
      </c>
    </row>
    <row r="6" customFormat="false" ht="29.25" hidden="false" customHeight="true" outlineLevel="0" collapsed="false">
      <c r="A6" s="39"/>
      <c r="B6" s="622" t="s">
        <v>474</v>
      </c>
      <c r="C6" s="623" t="n">
        <v>42267</v>
      </c>
      <c r="D6" s="624" t="n">
        <v>42272</v>
      </c>
      <c r="E6" s="625" t="n">
        <f aca="false">IF(C6=0,0,D6-C6+1)</f>
        <v>6</v>
      </c>
      <c r="F6" s="626"/>
      <c r="G6" s="627"/>
      <c r="H6" s="628"/>
      <c r="I6" s="629"/>
      <c r="J6" s="627"/>
      <c r="K6" s="628"/>
      <c r="L6" s="629"/>
      <c r="M6" s="627"/>
      <c r="N6" s="628"/>
      <c r="O6" s="630"/>
      <c r="P6" s="631"/>
      <c r="Q6" s="632"/>
      <c r="R6" s="629"/>
      <c r="S6" s="627"/>
      <c r="T6" s="628"/>
      <c r="U6" s="629"/>
      <c r="V6" s="627"/>
      <c r="W6" s="628"/>
      <c r="X6" s="629"/>
      <c r="Y6" s="627"/>
      <c r="Z6" s="628"/>
      <c r="AA6" s="629"/>
      <c r="AB6" s="627"/>
      <c r="AC6" s="628"/>
      <c r="AD6" s="629"/>
      <c r="AE6" s="627"/>
      <c r="AF6" s="628"/>
      <c r="AG6" s="629"/>
      <c r="AH6" s="627"/>
      <c r="AI6" s="628"/>
      <c r="AJ6" s="629"/>
      <c r="AK6" s="627"/>
      <c r="AL6" s="628"/>
      <c r="AM6" s="629"/>
      <c r="AN6" s="627"/>
      <c r="AO6" s="628"/>
      <c r="AP6" s="633"/>
      <c r="AQ6" s="627"/>
      <c r="AR6" s="628"/>
      <c r="AS6" s="629"/>
      <c r="AT6" s="627"/>
      <c r="AU6" s="628"/>
      <c r="AV6" s="629"/>
      <c r="AW6" s="627"/>
      <c r="AX6" s="628"/>
      <c r="AY6" s="629"/>
      <c r="AZ6" s="627"/>
      <c r="BA6" s="628"/>
      <c r="BB6" s="629"/>
      <c r="BC6" s="627"/>
      <c r="BD6" s="628"/>
      <c r="BE6" s="629"/>
      <c r="BF6" s="627"/>
      <c r="BG6" s="634"/>
      <c r="BH6" s="39"/>
      <c r="BI6" s="43"/>
      <c r="BJ6" s="43"/>
      <c r="BK6" s="43"/>
      <c r="BL6" s="594" t="n">
        <v>42125</v>
      </c>
    </row>
    <row r="7" customFormat="false" ht="29.25" hidden="false" customHeight="true" outlineLevel="0" collapsed="false">
      <c r="A7" s="39"/>
      <c r="B7" s="622" t="s">
        <v>475</v>
      </c>
      <c r="C7" s="623" t="n">
        <v>42267</v>
      </c>
      <c r="D7" s="624" t="n">
        <v>42277</v>
      </c>
      <c r="E7" s="625" t="n">
        <f aca="false">IF(C7=0,0,D7-C7+1)</f>
        <v>11</v>
      </c>
      <c r="F7" s="626"/>
      <c r="G7" s="627"/>
      <c r="H7" s="628"/>
      <c r="I7" s="629"/>
      <c r="J7" s="627"/>
      <c r="K7" s="628"/>
      <c r="L7" s="629"/>
      <c r="M7" s="627"/>
      <c r="N7" s="628"/>
      <c r="O7" s="630"/>
      <c r="P7" s="631"/>
      <c r="Q7" s="632"/>
      <c r="R7" s="629"/>
      <c r="S7" s="627"/>
      <c r="T7" s="628"/>
      <c r="U7" s="629"/>
      <c r="V7" s="627"/>
      <c r="W7" s="628"/>
      <c r="X7" s="629"/>
      <c r="Y7" s="627"/>
      <c r="Z7" s="628"/>
      <c r="AA7" s="629"/>
      <c r="AB7" s="627"/>
      <c r="AC7" s="628"/>
      <c r="AD7" s="629"/>
      <c r="AE7" s="627"/>
      <c r="AF7" s="628"/>
      <c r="AG7" s="629"/>
      <c r="AH7" s="627"/>
      <c r="AI7" s="628"/>
      <c r="AJ7" s="629"/>
      <c r="AK7" s="627"/>
      <c r="AL7" s="628"/>
      <c r="AM7" s="629"/>
      <c r="AN7" s="627"/>
      <c r="AO7" s="628"/>
      <c r="AP7" s="633"/>
      <c r="AQ7" s="627"/>
      <c r="AR7" s="628"/>
      <c r="AS7" s="629"/>
      <c r="AT7" s="627"/>
      <c r="AU7" s="628"/>
      <c r="AV7" s="629"/>
      <c r="AW7" s="627"/>
      <c r="AX7" s="628"/>
      <c r="AY7" s="629"/>
      <c r="AZ7" s="627"/>
      <c r="BA7" s="628"/>
      <c r="BB7" s="629"/>
      <c r="BC7" s="627"/>
      <c r="BD7" s="628"/>
      <c r="BE7" s="629"/>
      <c r="BF7" s="627"/>
      <c r="BG7" s="634"/>
      <c r="BH7" s="39"/>
      <c r="BI7" s="43"/>
      <c r="BJ7" s="43"/>
      <c r="BK7" s="43"/>
      <c r="BL7" s="594" t="n">
        <v>42156</v>
      </c>
    </row>
    <row r="8" customFormat="false" ht="29.25" hidden="false" customHeight="true" outlineLevel="0" collapsed="false">
      <c r="A8" s="39"/>
      <c r="B8" s="622" t="s">
        <v>476</v>
      </c>
      <c r="C8" s="623" t="n">
        <v>42278</v>
      </c>
      <c r="D8" s="624" t="n">
        <v>42287</v>
      </c>
      <c r="E8" s="625" t="n">
        <f aca="false">IF(C8=0,0,D8-C8+1)</f>
        <v>10</v>
      </c>
      <c r="F8" s="626"/>
      <c r="G8" s="627"/>
      <c r="H8" s="628"/>
      <c r="I8" s="629"/>
      <c r="J8" s="627"/>
      <c r="K8" s="628"/>
      <c r="L8" s="629"/>
      <c r="M8" s="627"/>
      <c r="N8" s="628"/>
      <c r="O8" s="630"/>
      <c r="P8" s="631"/>
      <c r="Q8" s="632"/>
      <c r="R8" s="629"/>
      <c r="S8" s="627"/>
      <c r="T8" s="628"/>
      <c r="U8" s="629"/>
      <c r="V8" s="627"/>
      <c r="W8" s="628"/>
      <c r="X8" s="629"/>
      <c r="Y8" s="627"/>
      <c r="Z8" s="628"/>
      <c r="AA8" s="629"/>
      <c r="AB8" s="627"/>
      <c r="AC8" s="628"/>
      <c r="AD8" s="629"/>
      <c r="AE8" s="627"/>
      <c r="AF8" s="628"/>
      <c r="AG8" s="629"/>
      <c r="AH8" s="627"/>
      <c r="AI8" s="628"/>
      <c r="AJ8" s="629"/>
      <c r="AK8" s="627"/>
      <c r="AL8" s="628"/>
      <c r="AM8" s="629"/>
      <c r="AN8" s="627"/>
      <c r="AO8" s="628"/>
      <c r="AP8" s="633"/>
      <c r="AQ8" s="627"/>
      <c r="AR8" s="628"/>
      <c r="AS8" s="629"/>
      <c r="AT8" s="627"/>
      <c r="AU8" s="628"/>
      <c r="AV8" s="629"/>
      <c r="AW8" s="627"/>
      <c r="AX8" s="628"/>
      <c r="AY8" s="629"/>
      <c r="AZ8" s="627"/>
      <c r="BA8" s="628"/>
      <c r="BB8" s="629"/>
      <c r="BC8" s="627"/>
      <c r="BD8" s="628"/>
      <c r="BE8" s="629"/>
      <c r="BF8" s="627"/>
      <c r="BG8" s="634"/>
      <c r="BH8" s="39"/>
      <c r="BI8" s="43"/>
      <c r="BJ8" s="43"/>
      <c r="BK8" s="43"/>
      <c r="BL8" s="594" t="n">
        <v>42186</v>
      </c>
    </row>
    <row r="9" customFormat="false" ht="29.25" hidden="false" customHeight="true" outlineLevel="0" collapsed="false">
      <c r="A9" s="39"/>
      <c r="B9" s="622" t="s">
        <v>477</v>
      </c>
      <c r="C9" s="623" t="n">
        <v>42278</v>
      </c>
      <c r="D9" s="624" t="n">
        <v>42287</v>
      </c>
      <c r="E9" s="625" t="n">
        <f aca="false">IF(C9=0,0,D9-C9+1)</f>
        <v>10</v>
      </c>
      <c r="F9" s="626"/>
      <c r="G9" s="627"/>
      <c r="H9" s="628"/>
      <c r="I9" s="629"/>
      <c r="J9" s="627"/>
      <c r="K9" s="628"/>
      <c r="L9" s="629"/>
      <c r="M9" s="627"/>
      <c r="N9" s="628"/>
      <c r="O9" s="630"/>
      <c r="P9" s="631"/>
      <c r="Q9" s="632"/>
      <c r="R9" s="629"/>
      <c r="S9" s="627"/>
      <c r="T9" s="628"/>
      <c r="U9" s="629"/>
      <c r="V9" s="627"/>
      <c r="W9" s="628"/>
      <c r="X9" s="629"/>
      <c r="Y9" s="627"/>
      <c r="Z9" s="628"/>
      <c r="AA9" s="629"/>
      <c r="AB9" s="627"/>
      <c r="AC9" s="628"/>
      <c r="AD9" s="629"/>
      <c r="AE9" s="627"/>
      <c r="AF9" s="628"/>
      <c r="AG9" s="629"/>
      <c r="AH9" s="627"/>
      <c r="AI9" s="628"/>
      <c r="AJ9" s="629"/>
      <c r="AK9" s="627"/>
      <c r="AL9" s="628"/>
      <c r="AM9" s="629"/>
      <c r="AN9" s="627"/>
      <c r="AO9" s="628"/>
      <c r="AP9" s="633"/>
      <c r="AQ9" s="627"/>
      <c r="AR9" s="628"/>
      <c r="AS9" s="629"/>
      <c r="AT9" s="627"/>
      <c r="AU9" s="628"/>
      <c r="AV9" s="629"/>
      <c r="AW9" s="627"/>
      <c r="AX9" s="628"/>
      <c r="AY9" s="629"/>
      <c r="AZ9" s="627"/>
      <c r="BA9" s="628"/>
      <c r="BB9" s="629"/>
      <c r="BC9" s="627"/>
      <c r="BD9" s="628"/>
      <c r="BE9" s="629"/>
      <c r="BF9" s="627"/>
      <c r="BG9" s="634"/>
      <c r="BH9" s="39"/>
      <c r="BI9" s="43"/>
      <c r="BJ9" s="43"/>
      <c r="BK9" s="43"/>
      <c r="BL9" s="594" t="n">
        <v>42217</v>
      </c>
    </row>
    <row r="10" customFormat="false" ht="29.25" hidden="false" customHeight="true" outlineLevel="0" collapsed="false">
      <c r="A10" s="39"/>
      <c r="B10" s="622" t="s">
        <v>478</v>
      </c>
      <c r="C10" s="623" t="n">
        <v>42278</v>
      </c>
      <c r="D10" s="624" t="n">
        <v>42282</v>
      </c>
      <c r="E10" s="625" t="n">
        <f aca="false">IF(C10=0,0,D10-C10+1)</f>
        <v>5</v>
      </c>
      <c r="F10" s="626"/>
      <c r="G10" s="627"/>
      <c r="H10" s="628"/>
      <c r="I10" s="629"/>
      <c r="J10" s="627"/>
      <c r="K10" s="628"/>
      <c r="L10" s="629"/>
      <c r="M10" s="627"/>
      <c r="N10" s="628"/>
      <c r="O10" s="630"/>
      <c r="P10" s="631"/>
      <c r="Q10" s="632"/>
      <c r="R10" s="629"/>
      <c r="S10" s="627"/>
      <c r="T10" s="628"/>
      <c r="U10" s="629"/>
      <c r="V10" s="627"/>
      <c r="W10" s="628"/>
      <c r="X10" s="629"/>
      <c r="Y10" s="627"/>
      <c r="Z10" s="628"/>
      <c r="AA10" s="629"/>
      <c r="AB10" s="627"/>
      <c r="AC10" s="628"/>
      <c r="AD10" s="629"/>
      <c r="AE10" s="627"/>
      <c r="AF10" s="628"/>
      <c r="AG10" s="629"/>
      <c r="AH10" s="627"/>
      <c r="AI10" s="628"/>
      <c r="AJ10" s="629"/>
      <c r="AK10" s="627"/>
      <c r="AL10" s="628"/>
      <c r="AM10" s="629"/>
      <c r="AN10" s="627"/>
      <c r="AO10" s="628"/>
      <c r="AP10" s="633"/>
      <c r="AQ10" s="627"/>
      <c r="AR10" s="628"/>
      <c r="AS10" s="629"/>
      <c r="AT10" s="627"/>
      <c r="AU10" s="628"/>
      <c r="AV10" s="629"/>
      <c r="AW10" s="627"/>
      <c r="AX10" s="628"/>
      <c r="AY10" s="629"/>
      <c r="AZ10" s="627"/>
      <c r="BA10" s="628"/>
      <c r="BB10" s="629"/>
      <c r="BC10" s="627"/>
      <c r="BD10" s="628"/>
      <c r="BE10" s="629"/>
      <c r="BF10" s="627"/>
      <c r="BG10" s="634"/>
      <c r="BH10" s="39"/>
      <c r="BI10" s="43"/>
      <c r="BJ10" s="43"/>
      <c r="BK10" s="43"/>
      <c r="BL10" s="594" t="n">
        <v>42248</v>
      </c>
    </row>
    <row r="11" customFormat="false" ht="29.25" hidden="false" customHeight="true" outlineLevel="0" collapsed="false">
      <c r="A11" s="39"/>
      <c r="B11" s="622" t="s">
        <v>479</v>
      </c>
      <c r="C11" s="623" t="n">
        <v>42287</v>
      </c>
      <c r="D11" s="624" t="n">
        <v>42292</v>
      </c>
      <c r="E11" s="625" t="n">
        <f aca="false">IF(C11=0,0,D11-C11+1)</f>
        <v>6</v>
      </c>
      <c r="F11" s="626"/>
      <c r="G11" s="627"/>
      <c r="H11" s="628"/>
      <c r="I11" s="629"/>
      <c r="J11" s="627"/>
      <c r="K11" s="628"/>
      <c r="L11" s="629"/>
      <c r="M11" s="627"/>
      <c r="N11" s="628"/>
      <c r="O11" s="630"/>
      <c r="P11" s="631"/>
      <c r="Q11" s="632"/>
      <c r="R11" s="629"/>
      <c r="S11" s="627"/>
      <c r="T11" s="628"/>
      <c r="U11" s="629"/>
      <c r="V11" s="627"/>
      <c r="W11" s="628"/>
      <c r="X11" s="629"/>
      <c r="Y11" s="627"/>
      <c r="Z11" s="628"/>
      <c r="AA11" s="629"/>
      <c r="AB11" s="627"/>
      <c r="AC11" s="628"/>
      <c r="AD11" s="629"/>
      <c r="AE11" s="627"/>
      <c r="AF11" s="628"/>
      <c r="AG11" s="629"/>
      <c r="AH11" s="627"/>
      <c r="AI11" s="628"/>
      <c r="AJ11" s="629"/>
      <c r="AK11" s="627"/>
      <c r="AL11" s="628"/>
      <c r="AM11" s="629"/>
      <c r="AN11" s="627"/>
      <c r="AO11" s="628"/>
      <c r="AP11" s="633"/>
      <c r="AQ11" s="627"/>
      <c r="AR11" s="628"/>
      <c r="AS11" s="629"/>
      <c r="AT11" s="627"/>
      <c r="AU11" s="628"/>
      <c r="AV11" s="629"/>
      <c r="AW11" s="627"/>
      <c r="AX11" s="628"/>
      <c r="AY11" s="629"/>
      <c r="AZ11" s="627"/>
      <c r="BA11" s="628"/>
      <c r="BB11" s="629"/>
      <c r="BC11" s="627"/>
      <c r="BD11" s="628"/>
      <c r="BE11" s="629"/>
      <c r="BF11" s="627"/>
      <c r="BG11" s="634"/>
      <c r="BH11" s="39"/>
      <c r="BI11" s="43"/>
      <c r="BJ11" s="43"/>
      <c r="BK11" s="43"/>
      <c r="BL11" s="594" t="n">
        <v>42278</v>
      </c>
    </row>
    <row r="12" customFormat="false" ht="29.25" hidden="false" customHeight="true" outlineLevel="0" collapsed="false">
      <c r="A12" s="39"/>
      <c r="B12" s="622" t="s">
        <v>480</v>
      </c>
      <c r="C12" s="623" t="n">
        <v>42292</v>
      </c>
      <c r="D12" s="624" t="n">
        <v>42302</v>
      </c>
      <c r="E12" s="625" t="n">
        <f aca="false">IF(C12=0,0,D12-C12+1)</f>
        <v>11</v>
      </c>
      <c r="F12" s="626"/>
      <c r="G12" s="627"/>
      <c r="H12" s="628"/>
      <c r="I12" s="629"/>
      <c r="J12" s="627"/>
      <c r="K12" s="628"/>
      <c r="L12" s="629"/>
      <c r="M12" s="627"/>
      <c r="N12" s="628"/>
      <c r="O12" s="630"/>
      <c r="P12" s="631"/>
      <c r="Q12" s="632"/>
      <c r="R12" s="629"/>
      <c r="S12" s="627"/>
      <c r="T12" s="628"/>
      <c r="U12" s="629"/>
      <c r="V12" s="627"/>
      <c r="W12" s="628"/>
      <c r="X12" s="629"/>
      <c r="Y12" s="627"/>
      <c r="Z12" s="628"/>
      <c r="AA12" s="629"/>
      <c r="AB12" s="627"/>
      <c r="AC12" s="628"/>
      <c r="AD12" s="629"/>
      <c r="AE12" s="627"/>
      <c r="AF12" s="628"/>
      <c r="AG12" s="629"/>
      <c r="AH12" s="627"/>
      <c r="AI12" s="628"/>
      <c r="AJ12" s="629"/>
      <c r="AK12" s="627"/>
      <c r="AL12" s="628"/>
      <c r="AM12" s="629"/>
      <c r="AN12" s="627"/>
      <c r="AO12" s="628"/>
      <c r="AP12" s="633"/>
      <c r="AQ12" s="627"/>
      <c r="AR12" s="628"/>
      <c r="AS12" s="629"/>
      <c r="AT12" s="627"/>
      <c r="AU12" s="628"/>
      <c r="AV12" s="629"/>
      <c r="AW12" s="627"/>
      <c r="AX12" s="628"/>
      <c r="AY12" s="629"/>
      <c r="AZ12" s="627"/>
      <c r="BA12" s="628"/>
      <c r="BB12" s="629"/>
      <c r="BC12" s="627"/>
      <c r="BD12" s="628"/>
      <c r="BE12" s="629"/>
      <c r="BF12" s="627"/>
      <c r="BG12" s="634"/>
      <c r="BH12" s="39"/>
      <c r="BI12" s="43"/>
      <c r="BJ12" s="43"/>
      <c r="BK12" s="43"/>
      <c r="BL12" s="594" t="n">
        <v>42309</v>
      </c>
    </row>
    <row r="13" customFormat="false" ht="29.25" hidden="false" customHeight="true" outlineLevel="0" collapsed="false">
      <c r="A13" s="39"/>
      <c r="B13" s="622" t="s">
        <v>481</v>
      </c>
      <c r="C13" s="623" t="n">
        <v>42287</v>
      </c>
      <c r="D13" s="624" t="n">
        <v>42302</v>
      </c>
      <c r="E13" s="625" t="n">
        <f aca="false">IF(C13=0,0,D13-C13+1)</f>
        <v>16</v>
      </c>
      <c r="F13" s="626"/>
      <c r="G13" s="627"/>
      <c r="H13" s="628"/>
      <c r="I13" s="629"/>
      <c r="J13" s="627"/>
      <c r="K13" s="628"/>
      <c r="L13" s="629"/>
      <c r="M13" s="627"/>
      <c r="N13" s="628"/>
      <c r="O13" s="630"/>
      <c r="P13" s="631"/>
      <c r="Q13" s="632"/>
      <c r="R13" s="629"/>
      <c r="S13" s="627"/>
      <c r="T13" s="628"/>
      <c r="U13" s="629"/>
      <c r="V13" s="627"/>
      <c r="W13" s="628"/>
      <c r="X13" s="629"/>
      <c r="Y13" s="627"/>
      <c r="Z13" s="628"/>
      <c r="AA13" s="629"/>
      <c r="AB13" s="627"/>
      <c r="AC13" s="628"/>
      <c r="AD13" s="629"/>
      <c r="AE13" s="627"/>
      <c r="AF13" s="628"/>
      <c r="AG13" s="629"/>
      <c r="AH13" s="627"/>
      <c r="AI13" s="628"/>
      <c r="AJ13" s="629"/>
      <c r="AK13" s="627"/>
      <c r="AL13" s="628"/>
      <c r="AM13" s="629"/>
      <c r="AN13" s="627"/>
      <c r="AO13" s="628"/>
      <c r="AP13" s="633"/>
      <c r="AQ13" s="627"/>
      <c r="AR13" s="628"/>
      <c r="AS13" s="629"/>
      <c r="AT13" s="627"/>
      <c r="AU13" s="628"/>
      <c r="AV13" s="629"/>
      <c r="AW13" s="627"/>
      <c r="AX13" s="628"/>
      <c r="AY13" s="629"/>
      <c r="AZ13" s="627"/>
      <c r="BA13" s="628"/>
      <c r="BB13" s="629"/>
      <c r="BC13" s="627"/>
      <c r="BD13" s="628"/>
      <c r="BE13" s="629"/>
      <c r="BF13" s="627"/>
      <c r="BG13" s="634"/>
      <c r="BH13" s="39"/>
      <c r="BI13" s="43"/>
      <c r="BJ13" s="43"/>
      <c r="BK13" s="43"/>
      <c r="BL13" s="594" t="n">
        <v>42339</v>
      </c>
    </row>
    <row r="14" customFormat="false" ht="29.25" hidden="false" customHeight="true" outlineLevel="0" collapsed="false">
      <c r="A14" s="39"/>
      <c r="B14" s="622" t="s">
        <v>482</v>
      </c>
      <c r="C14" s="623" t="n">
        <v>42278</v>
      </c>
      <c r="D14" s="624" t="n">
        <v>42307</v>
      </c>
      <c r="E14" s="625" t="n">
        <f aca="false">IF(C14=0,0,D14-C14+1)</f>
        <v>30</v>
      </c>
      <c r="F14" s="626"/>
      <c r="G14" s="627"/>
      <c r="H14" s="628"/>
      <c r="I14" s="629"/>
      <c r="J14" s="627"/>
      <c r="K14" s="628"/>
      <c r="L14" s="629"/>
      <c r="M14" s="627"/>
      <c r="N14" s="628"/>
      <c r="O14" s="630"/>
      <c r="P14" s="631"/>
      <c r="Q14" s="632"/>
      <c r="R14" s="629"/>
      <c r="S14" s="627"/>
      <c r="T14" s="628"/>
      <c r="U14" s="629"/>
      <c r="V14" s="627"/>
      <c r="W14" s="628"/>
      <c r="X14" s="629"/>
      <c r="Y14" s="627"/>
      <c r="Z14" s="628"/>
      <c r="AA14" s="629"/>
      <c r="AB14" s="627"/>
      <c r="AC14" s="628"/>
      <c r="AD14" s="629"/>
      <c r="AE14" s="627"/>
      <c r="AF14" s="628"/>
      <c r="AG14" s="629"/>
      <c r="AH14" s="627"/>
      <c r="AI14" s="628"/>
      <c r="AJ14" s="629"/>
      <c r="AK14" s="627"/>
      <c r="AL14" s="628"/>
      <c r="AM14" s="629"/>
      <c r="AN14" s="627"/>
      <c r="AO14" s="628"/>
      <c r="AP14" s="633"/>
      <c r="AQ14" s="627"/>
      <c r="AR14" s="628"/>
      <c r="AS14" s="629"/>
      <c r="AT14" s="627"/>
      <c r="AU14" s="628"/>
      <c r="AV14" s="629"/>
      <c r="AW14" s="627"/>
      <c r="AX14" s="628"/>
      <c r="AY14" s="629"/>
      <c r="AZ14" s="627"/>
      <c r="BA14" s="628"/>
      <c r="BB14" s="629"/>
      <c r="BC14" s="627"/>
      <c r="BD14" s="628"/>
      <c r="BE14" s="629"/>
      <c r="BF14" s="627"/>
      <c r="BG14" s="634"/>
      <c r="BH14" s="39"/>
      <c r="BI14" s="43"/>
      <c r="BJ14" s="43"/>
      <c r="BK14" s="43"/>
      <c r="BL14" s="594" t="n">
        <v>42370</v>
      </c>
    </row>
    <row r="15" customFormat="false" ht="29.25" hidden="false" customHeight="true" outlineLevel="0" collapsed="false">
      <c r="A15" s="39"/>
      <c r="B15" s="622" t="s">
        <v>483</v>
      </c>
      <c r="C15" s="623" t="n">
        <v>42297</v>
      </c>
      <c r="D15" s="624" t="n">
        <v>42307</v>
      </c>
      <c r="E15" s="625" t="n">
        <f aca="false">IF(C15=0,0,D15-C15+1)</f>
        <v>11</v>
      </c>
      <c r="F15" s="626"/>
      <c r="G15" s="627"/>
      <c r="H15" s="628"/>
      <c r="I15" s="629"/>
      <c r="J15" s="627"/>
      <c r="K15" s="628"/>
      <c r="L15" s="629"/>
      <c r="M15" s="627"/>
      <c r="N15" s="628"/>
      <c r="O15" s="630"/>
      <c r="P15" s="631"/>
      <c r="Q15" s="632"/>
      <c r="R15" s="629"/>
      <c r="S15" s="627"/>
      <c r="T15" s="628"/>
      <c r="U15" s="629"/>
      <c r="V15" s="627"/>
      <c r="W15" s="628"/>
      <c r="X15" s="629"/>
      <c r="Y15" s="627"/>
      <c r="Z15" s="628"/>
      <c r="AA15" s="629"/>
      <c r="AB15" s="627"/>
      <c r="AC15" s="628"/>
      <c r="AD15" s="629"/>
      <c r="AE15" s="627"/>
      <c r="AF15" s="628"/>
      <c r="AG15" s="629"/>
      <c r="AH15" s="627"/>
      <c r="AI15" s="628"/>
      <c r="AJ15" s="629"/>
      <c r="AK15" s="627"/>
      <c r="AL15" s="628"/>
      <c r="AM15" s="629"/>
      <c r="AN15" s="627"/>
      <c r="AO15" s="628"/>
      <c r="AP15" s="633"/>
      <c r="AQ15" s="627"/>
      <c r="AR15" s="628"/>
      <c r="AS15" s="629"/>
      <c r="AT15" s="627"/>
      <c r="AU15" s="628"/>
      <c r="AV15" s="629"/>
      <c r="AW15" s="627"/>
      <c r="AX15" s="628"/>
      <c r="AY15" s="629"/>
      <c r="AZ15" s="627"/>
      <c r="BA15" s="628"/>
      <c r="BB15" s="629"/>
      <c r="BC15" s="627"/>
      <c r="BD15" s="628"/>
      <c r="BE15" s="629"/>
      <c r="BF15" s="627"/>
      <c r="BG15" s="634"/>
      <c r="BH15" s="39"/>
      <c r="BI15" s="43"/>
      <c r="BJ15" s="43"/>
      <c r="BK15" s="43"/>
      <c r="BL15" s="594" t="n">
        <v>42401</v>
      </c>
    </row>
    <row r="16" customFormat="false" ht="29.25" hidden="false" customHeight="true" outlineLevel="0" collapsed="false">
      <c r="A16" s="39"/>
      <c r="B16" s="622" t="s">
        <v>484</v>
      </c>
      <c r="C16" s="623" t="n">
        <v>42297</v>
      </c>
      <c r="D16" s="624" t="n">
        <v>42307</v>
      </c>
      <c r="E16" s="625" t="n">
        <f aca="false">IF(C16=0,0,D16-C16+1)</f>
        <v>11</v>
      </c>
      <c r="F16" s="626"/>
      <c r="G16" s="627"/>
      <c r="H16" s="628"/>
      <c r="I16" s="629"/>
      <c r="J16" s="627"/>
      <c r="K16" s="628"/>
      <c r="L16" s="629"/>
      <c r="M16" s="627"/>
      <c r="N16" s="628"/>
      <c r="O16" s="630"/>
      <c r="P16" s="631"/>
      <c r="Q16" s="632"/>
      <c r="R16" s="629"/>
      <c r="S16" s="627"/>
      <c r="T16" s="628"/>
      <c r="U16" s="629"/>
      <c r="V16" s="627"/>
      <c r="W16" s="628"/>
      <c r="X16" s="629"/>
      <c r="Y16" s="627"/>
      <c r="Z16" s="628"/>
      <c r="AA16" s="629"/>
      <c r="AB16" s="627"/>
      <c r="AC16" s="628"/>
      <c r="AD16" s="629"/>
      <c r="AE16" s="627"/>
      <c r="AF16" s="628"/>
      <c r="AG16" s="629"/>
      <c r="AH16" s="627"/>
      <c r="AI16" s="628"/>
      <c r="AJ16" s="629"/>
      <c r="AK16" s="627"/>
      <c r="AL16" s="628"/>
      <c r="AM16" s="629"/>
      <c r="AN16" s="627"/>
      <c r="AO16" s="628"/>
      <c r="AP16" s="633"/>
      <c r="AQ16" s="627"/>
      <c r="AR16" s="628"/>
      <c r="AS16" s="629"/>
      <c r="AT16" s="627"/>
      <c r="AU16" s="628"/>
      <c r="AV16" s="629"/>
      <c r="AW16" s="627"/>
      <c r="AX16" s="628"/>
      <c r="AY16" s="629"/>
      <c r="AZ16" s="627"/>
      <c r="BA16" s="628"/>
      <c r="BB16" s="629"/>
      <c r="BC16" s="627"/>
      <c r="BD16" s="628"/>
      <c r="BE16" s="629"/>
      <c r="BF16" s="627"/>
      <c r="BG16" s="634"/>
      <c r="BH16" s="39"/>
      <c r="BI16" s="43"/>
      <c r="BJ16" s="43"/>
      <c r="BK16" s="43"/>
      <c r="BL16" s="594" t="n">
        <v>42430</v>
      </c>
    </row>
    <row r="17" customFormat="false" ht="29.25" hidden="false" customHeight="true" outlineLevel="0" collapsed="false">
      <c r="A17" s="39"/>
      <c r="B17" s="622" t="s">
        <v>485</v>
      </c>
      <c r="C17" s="623" t="n">
        <v>42297</v>
      </c>
      <c r="D17" s="624" t="n">
        <v>42307</v>
      </c>
      <c r="E17" s="625" t="n">
        <f aca="false">IF(C17=0,0,D17-C17+1)</f>
        <v>11</v>
      </c>
      <c r="F17" s="626"/>
      <c r="G17" s="627"/>
      <c r="H17" s="628"/>
      <c r="I17" s="629"/>
      <c r="J17" s="627"/>
      <c r="K17" s="628"/>
      <c r="L17" s="629"/>
      <c r="M17" s="627"/>
      <c r="N17" s="628"/>
      <c r="O17" s="630"/>
      <c r="P17" s="631"/>
      <c r="Q17" s="632"/>
      <c r="R17" s="629"/>
      <c r="S17" s="627"/>
      <c r="T17" s="628"/>
      <c r="U17" s="629"/>
      <c r="V17" s="627"/>
      <c r="W17" s="628"/>
      <c r="X17" s="629"/>
      <c r="Y17" s="627"/>
      <c r="Z17" s="628"/>
      <c r="AA17" s="629"/>
      <c r="AB17" s="627"/>
      <c r="AC17" s="628"/>
      <c r="AD17" s="629"/>
      <c r="AE17" s="627"/>
      <c r="AF17" s="628"/>
      <c r="AG17" s="629"/>
      <c r="AH17" s="627"/>
      <c r="AI17" s="628"/>
      <c r="AJ17" s="629"/>
      <c r="AK17" s="627"/>
      <c r="AL17" s="628"/>
      <c r="AM17" s="629"/>
      <c r="AN17" s="627"/>
      <c r="AO17" s="628"/>
      <c r="AP17" s="633"/>
      <c r="AQ17" s="627"/>
      <c r="AR17" s="628"/>
      <c r="AS17" s="629"/>
      <c r="AT17" s="627"/>
      <c r="AU17" s="628"/>
      <c r="AV17" s="629"/>
      <c r="AW17" s="627"/>
      <c r="AX17" s="628"/>
      <c r="AY17" s="629"/>
      <c r="AZ17" s="627"/>
      <c r="BA17" s="628"/>
      <c r="BB17" s="629"/>
      <c r="BC17" s="627"/>
      <c r="BD17" s="628"/>
      <c r="BE17" s="629"/>
      <c r="BF17" s="627"/>
      <c r="BG17" s="634"/>
      <c r="BH17" s="39"/>
      <c r="BI17" s="43"/>
      <c r="BJ17" s="43"/>
      <c r="BK17" s="43"/>
      <c r="BL17" s="594" t="n">
        <v>42461</v>
      </c>
    </row>
    <row r="18" customFormat="false" ht="29.25" hidden="false" customHeight="true" outlineLevel="0" collapsed="false">
      <c r="A18" s="39"/>
      <c r="B18" s="622" t="s">
        <v>486</v>
      </c>
      <c r="C18" s="623" t="n">
        <v>42278</v>
      </c>
      <c r="D18" s="624" t="n">
        <v>42307</v>
      </c>
      <c r="E18" s="625" t="n">
        <f aca="false">IF(C18=0,0,D18-C18+1)</f>
        <v>30</v>
      </c>
      <c r="F18" s="626"/>
      <c r="G18" s="627"/>
      <c r="H18" s="628"/>
      <c r="I18" s="629"/>
      <c r="J18" s="627"/>
      <c r="K18" s="628"/>
      <c r="L18" s="629"/>
      <c r="M18" s="627"/>
      <c r="N18" s="628"/>
      <c r="O18" s="630"/>
      <c r="P18" s="631"/>
      <c r="Q18" s="632"/>
      <c r="R18" s="629"/>
      <c r="S18" s="627"/>
      <c r="T18" s="628"/>
      <c r="U18" s="629"/>
      <c r="V18" s="627"/>
      <c r="W18" s="628"/>
      <c r="X18" s="629"/>
      <c r="Y18" s="627"/>
      <c r="Z18" s="628"/>
      <c r="AA18" s="629"/>
      <c r="AB18" s="627"/>
      <c r="AC18" s="628"/>
      <c r="AD18" s="629"/>
      <c r="AE18" s="627"/>
      <c r="AF18" s="628"/>
      <c r="AG18" s="629"/>
      <c r="AH18" s="627"/>
      <c r="AI18" s="628"/>
      <c r="AJ18" s="629"/>
      <c r="AK18" s="627"/>
      <c r="AL18" s="628"/>
      <c r="AM18" s="629"/>
      <c r="AN18" s="627"/>
      <c r="AO18" s="628"/>
      <c r="AP18" s="633"/>
      <c r="AQ18" s="627"/>
      <c r="AR18" s="628"/>
      <c r="AS18" s="629"/>
      <c r="AT18" s="627"/>
      <c r="AU18" s="628"/>
      <c r="AV18" s="629"/>
      <c r="AW18" s="627"/>
      <c r="AX18" s="628"/>
      <c r="AY18" s="629"/>
      <c r="AZ18" s="627"/>
      <c r="BA18" s="628"/>
      <c r="BB18" s="629"/>
      <c r="BC18" s="627"/>
      <c r="BD18" s="628"/>
      <c r="BE18" s="629"/>
      <c r="BF18" s="627"/>
      <c r="BG18" s="634"/>
      <c r="BH18" s="39"/>
      <c r="BI18" s="43"/>
      <c r="BJ18" s="43"/>
      <c r="BK18" s="43"/>
      <c r="BL18" s="594" t="n">
        <v>42491</v>
      </c>
    </row>
    <row r="19" customFormat="false" ht="29.25" hidden="false" customHeight="true" outlineLevel="0" collapsed="false">
      <c r="A19" s="39"/>
      <c r="B19" s="635" t="s">
        <v>487</v>
      </c>
      <c r="C19" s="636" t="n">
        <v>42309</v>
      </c>
      <c r="D19" s="637" t="n">
        <v>42309</v>
      </c>
      <c r="E19" s="638" t="n">
        <f aca="false">IF(C19=0,0,D19-C19+1)</f>
        <v>1</v>
      </c>
      <c r="F19" s="639"/>
      <c r="G19" s="640"/>
      <c r="H19" s="641"/>
      <c r="I19" s="642"/>
      <c r="J19" s="640"/>
      <c r="K19" s="641"/>
      <c r="L19" s="642"/>
      <c r="M19" s="640"/>
      <c r="N19" s="641"/>
      <c r="O19" s="643"/>
      <c r="P19" s="644"/>
      <c r="Q19" s="645"/>
      <c r="R19" s="642"/>
      <c r="S19" s="640"/>
      <c r="T19" s="641"/>
      <c r="U19" s="642"/>
      <c r="V19" s="640"/>
      <c r="W19" s="641"/>
      <c r="X19" s="642"/>
      <c r="Y19" s="640"/>
      <c r="Z19" s="641"/>
      <c r="AA19" s="642"/>
      <c r="AB19" s="640"/>
      <c r="AC19" s="641"/>
      <c r="AD19" s="642"/>
      <c r="AE19" s="640"/>
      <c r="AF19" s="641"/>
      <c r="AG19" s="642"/>
      <c r="AH19" s="640"/>
      <c r="AI19" s="641"/>
      <c r="AJ19" s="642"/>
      <c r="AK19" s="640"/>
      <c r="AL19" s="641"/>
      <c r="AM19" s="642"/>
      <c r="AN19" s="640"/>
      <c r="AO19" s="641"/>
      <c r="AP19" s="646"/>
      <c r="AQ19" s="640"/>
      <c r="AR19" s="641"/>
      <c r="AS19" s="642"/>
      <c r="AT19" s="640"/>
      <c r="AU19" s="641"/>
      <c r="AV19" s="642"/>
      <c r="AW19" s="640"/>
      <c r="AX19" s="641"/>
      <c r="AY19" s="642"/>
      <c r="AZ19" s="640"/>
      <c r="BA19" s="641"/>
      <c r="BB19" s="642"/>
      <c r="BC19" s="640"/>
      <c r="BD19" s="641"/>
      <c r="BE19" s="642"/>
      <c r="BF19" s="640"/>
      <c r="BG19" s="647"/>
      <c r="BH19" s="39"/>
      <c r="BI19" s="43"/>
      <c r="BJ19" s="43"/>
      <c r="BK19" s="43"/>
      <c r="BL19" s="594" t="n">
        <v>42522</v>
      </c>
    </row>
    <row r="20" customFormat="false" ht="7.5" hidden="false" customHeight="true" outlineLevel="0" collapsed="false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I20" s="83"/>
      <c r="BJ20" s="83"/>
      <c r="BK20" s="83"/>
      <c r="BL20" s="648" t="n">
        <v>42552</v>
      </c>
    </row>
    <row r="21" customFormat="false" ht="30" hidden="true" customHeight="true" outlineLevel="0" collapsed="false">
      <c r="BL21" s="594" t="n">
        <v>42583</v>
      </c>
    </row>
    <row r="22" customFormat="false" ht="30" hidden="true" customHeight="true" outlineLevel="0" collapsed="false">
      <c r="BL22" s="594" t="n">
        <v>42614</v>
      </c>
    </row>
    <row r="23" customFormat="false" ht="30" hidden="true" customHeight="true" outlineLevel="0" collapsed="false">
      <c r="BL23" s="594" t="n">
        <v>42644</v>
      </c>
    </row>
    <row r="24" customFormat="false" ht="30" hidden="true" customHeight="true" outlineLevel="0" collapsed="false">
      <c r="BL24" s="594" t="n">
        <v>42675</v>
      </c>
    </row>
    <row r="25" customFormat="false" ht="30" hidden="true" customHeight="true" outlineLevel="0" collapsed="false">
      <c r="BL25" s="594" t="n">
        <v>42705</v>
      </c>
    </row>
    <row r="26" customFormat="false" ht="30" hidden="true" customHeight="true" outlineLevel="0" collapsed="false">
      <c r="BL26" s="594" t="n">
        <v>42736</v>
      </c>
    </row>
    <row r="27" customFormat="false" ht="30" hidden="true" customHeight="true" outlineLevel="0" collapsed="false">
      <c r="BL27" s="594" t="n">
        <v>42767</v>
      </c>
    </row>
    <row r="28" customFormat="false" ht="30" hidden="true" customHeight="true" outlineLevel="0" collapsed="false">
      <c r="BL28" s="594" t="n">
        <v>42795</v>
      </c>
    </row>
    <row r="29" customFormat="false" ht="30" hidden="true" customHeight="true" outlineLevel="0" collapsed="false">
      <c r="BL29" s="594" t="n">
        <v>42826</v>
      </c>
    </row>
    <row r="30" customFormat="false" ht="30" hidden="true" customHeight="true" outlineLevel="0" collapsed="false">
      <c r="BL30" s="594" t="n">
        <v>42856</v>
      </c>
    </row>
    <row r="31" customFormat="false" ht="30" hidden="true" customHeight="true" outlineLevel="0" collapsed="false">
      <c r="BL31" s="594" t="n">
        <v>42887</v>
      </c>
    </row>
    <row r="32" customFormat="false" ht="30" hidden="true" customHeight="true" outlineLevel="0" collapsed="false">
      <c r="BL32" s="594" t="n">
        <v>42917</v>
      </c>
    </row>
    <row r="33" customFormat="false" ht="30" hidden="true" customHeight="true" outlineLevel="0" collapsed="false">
      <c r="BL33" s="594" t="n">
        <v>42948</v>
      </c>
    </row>
    <row r="34" customFormat="false" ht="30" hidden="true" customHeight="true" outlineLevel="0" collapsed="false">
      <c r="BL34" s="594" t="n">
        <v>42979</v>
      </c>
    </row>
    <row r="35" customFormat="false" ht="30" hidden="true" customHeight="true" outlineLevel="0" collapsed="false">
      <c r="BL35" s="594" t="n">
        <v>43009</v>
      </c>
    </row>
    <row r="36" customFormat="false" ht="30" hidden="true" customHeight="true" outlineLevel="0" collapsed="false">
      <c r="BL36" s="594" t="n">
        <v>43040</v>
      </c>
    </row>
    <row r="37" customFormat="false" ht="30" hidden="true" customHeight="true" outlineLevel="0" collapsed="false">
      <c r="BL37" s="594" t="n">
        <v>43070</v>
      </c>
    </row>
    <row r="38" customFormat="false" ht="30" hidden="true" customHeight="true" outlineLevel="0" collapsed="false">
      <c r="BL38" s="594" t="n">
        <v>43101</v>
      </c>
    </row>
    <row r="39" customFormat="false" ht="30" hidden="true" customHeight="true" outlineLevel="0" collapsed="false">
      <c r="BL39" s="594" t="n">
        <v>43132</v>
      </c>
    </row>
    <row r="40" customFormat="false" ht="30" hidden="true" customHeight="true" outlineLevel="0" collapsed="false">
      <c r="BL40" s="594" t="n">
        <v>43160</v>
      </c>
    </row>
    <row r="41" customFormat="false" ht="30" hidden="true" customHeight="true" outlineLevel="0" collapsed="false">
      <c r="BL41" s="594" t="n">
        <v>43191</v>
      </c>
    </row>
    <row r="42" customFormat="false" ht="30" hidden="true" customHeight="true" outlineLevel="0" collapsed="false">
      <c r="BL42" s="594" t="n">
        <v>43221</v>
      </c>
    </row>
    <row r="43" customFormat="false" ht="30" hidden="true" customHeight="true" outlineLevel="0" collapsed="false">
      <c r="BL43" s="594" t="n">
        <v>43252</v>
      </c>
    </row>
    <row r="44" customFormat="false" ht="30" hidden="true" customHeight="true" outlineLevel="0" collapsed="false">
      <c r="BL44" s="594" t="n">
        <v>43282</v>
      </c>
    </row>
    <row r="45" customFormat="false" ht="30" hidden="true" customHeight="true" outlineLevel="0" collapsed="false">
      <c r="BL45" s="594" t="n">
        <v>43313</v>
      </c>
    </row>
    <row r="46" customFormat="false" ht="30" hidden="true" customHeight="true" outlineLevel="0" collapsed="false">
      <c r="BL46" s="594" t="n">
        <v>43344</v>
      </c>
    </row>
    <row r="47" customFormat="false" ht="30" hidden="true" customHeight="true" outlineLevel="0" collapsed="false">
      <c r="BL47" s="594" t="n">
        <v>43374</v>
      </c>
    </row>
    <row r="48" customFormat="false" ht="30" hidden="true" customHeight="true" outlineLevel="0" collapsed="false">
      <c r="BL48" s="594" t="n">
        <v>43405</v>
      </c>
    </row>
    <row r="49" customFormat="false" ht="30" hidden="true" customHeight="true" outlineLevel="0" collapsed="false">
      <c r="BL49" s="594" t="n">
        <v>43435</v>
      </c>
    </row>
    <row r="50" customFormat="false" ht="30" hidden="true" customHeight="true" outlineLevel="0" collapsed="false">
      <c r="BL50" s="594" t="n">
        <v>43466</v>
      </c>
    </row>
    <row r="51" customFormat="false" ht="30" hidden="true" customHeight="true" outlineLevel="0" collapsed="false">
      <c r="BL51" s="594" t="n">
        <v>43497</v>
      </c>
    </row>
    <row r="52" customFormat="false" ht="30" hidden="true" customHeight="true" outlineLevel="0" collapsed="false">
      <c r="BL52" s="594" t="n">
        <v>43525</v>
      </c>
    </row>
    <row r="53" customFormat="false" ht="30" hidden="true" customHeight="true" outlineLevel="0" collapsed="false">
      <c r="BL53" s="594" t="n">
        <v>43556</v>
      </c>
    </row>
    <row r="54" customFormat="false" ht="30" hidden="true" customHeight="true" outlineLevel="0" collapsed="false">
      <c r="BL54" s="594" t="n">
        <v>43586</v>
      </c>
    </row>
    <row r="55" customFormat="false" ht="30" hidden="true" customHeight="true" outlineLevel="0" collapsed="false">
      <c r="BL55" s="594" t="n">
        <v>43617</v>
      </c>
    </row>
    <row r="56" customFormat="false" ht="30" hidden="true" customHeight="true" outlineLevel="0" collapsed="false">
      <c r="BL56" s="594" t="n">
        <v>43647</v>
      </c>
    </row>
    <row r="57" customFormat="false" ht="30" hidden="true" customHeight="true" outlineLevel="0" collapsed="false">
      <c r="BL57" s="594" t="n">
        <v>43678</v>
      </c>
    </row>
    <row r="58" customFormat="false" ht="30" hidden="true" customHeight="true" outlineLevel="0" collapsed="false">
      <c r="BL58" s="594" t="n">
        <v>43709</v>
      </c>
    </row>
    <row r="59" customFormat="false" ht="30" hidden="true" customHeight="true" outlineLevel="0" collapsed="false">
      <c r="BL59" s="594" t="n">
        <v>43739</v>
      </c>
    </row>
    <row r="60" customFormat="false" ht="30" hidden="true" customHeight="true" outlineLevel="0" collapsed="false">
      <c r="BL60" s="594" t="n">
        <v>43770</v>
      </c>
    </row>
    <row r="61" customFormat="false" ht="30" hidden="true" customHeight="true" outlineLevel="0" collapsed="false">
      <c r="BL61" s="594" t="n">
        <v>43800</v>
      </c>
    </row>
    <row r="62" customFormat="false" ht="30" hidden="true" customHeight="true" outlineLevel="0" collapsed="false">
      <c r="BL62" s="594" t="n">
        <v>43831</v>
      </c>
    </row>
    <row r="63" customFormat="false" ht="30" hidden="true" customHeight="true" outlineLevel="0" collapsed="false">
      <c r="BL63" s="594" t="n">
        <v>43862</v>
      </c>
    </row>
    <row r="64" customFormat="false" ht="30" hidden="true" customHeight="true" outlineLevel="0" collapsed="false">
      <c r="BL64" s="594" t="n">
        <v>43891</v>
      </c>
    </row>
    <row r="65" customFormat="false" ht="30" hidden="true" customHeight="true" outlineLevel="0" collapsed="false">
      <c r="BL65" s="594" t="n">
        <v>43922</v>
      </c>
    </row>
    <row r="66" customFormat="false" ht="30" hidden="true" customHeight="true" outlineLevel="0" collapsed="false">
      <c r="BL66" s="594" t="n">
        <v>43952</v>
      </c>
    </row>
    <row r="67" customFormat="false" ht="30" hidden="true" customHeight="true" outlineLevel="0" collapsed="false">
      <c r="BL67" s="594" t="n">
        <v>43983</v>
      </c>
    </row>
    <row r="68" customFormat="false" ht="30" hidden="true" customHeight="true" outlineLevel="0" collapsed="false">
      <c r="BL68" s="594" t="n">
        <v>44013</v>
      </c>
    </row>
    <row r="69" customFormat="false" ht="30" hidden="true" customHeight="true" outlineLevel="0" collapsed="false">
      <c r="BL69" s="594" t="n">
        <v>44044</v>
      </c>
    </row>
    <row r="70" customFormat="false" ht="30" hidden="true" customHeight="true" outlineLevel="0" collapsed="false">
      <c r="BL70" s="594" t="n">
        <v>44075</v>
      </c>
    </row>
    <row r="71" customFormat="false" ht="30" hidden="true" customHeight="true" outlineLevel="0" collapsed="false">
      <c r="BL71" s="594" t="n">
        <v>44105</v>
      </c>
    </row>
    <row r="72" customFormat="false" ht="30" hidden="true" customHeight="true" outlineLevel="0" collapsed="false">
      <c r="BL72" s="594" t="n">
        <v>44136</v>
      </c>
    </row>
    <row r="73" customFormat="false" ht="30" hidden="true" customHeight="true" outlineLevel="0" collapsed="false">
      <c r="BL73" s="594" t="n">
        <v>44166</v>
      </c>
    </row>
    <row r="74" customFormat="false" ht="30" hidden="true" customHeight="true" outlineLevel="0" collapsed="false">
      <c r="BL74" s="594" t="n">
        <v>44197</v>
      </c>
    </row>
    <row r="75" customFormat="false" ht="30" hidden="true" customHeight="true" outlineLevel="0" collapsed="false">
      <c r="BL75" s="594" t="n">
        <v>44228</v>
      </c>
    </row>
    <row r="76" customFormat="false" ht="30" hidden="true" customHeight="true" outlineLevel="0" collapsed="false">
      <c r="BL76" s="594" t="n">
        <v>44256</v>
      </c>
    </row>
    <row r="77" customFormat="false" ht="30" hidden="true" customHeight="true" outlineLevel="0" collapsed="false">
      <c r="BL77" s="594" t="n">
        <v>44287</v>
      </c>
    </row>
    <row r="78" customFormat="false" ht="30" hidden="true" customHeight="true" outlineLevel="0" collapsed="false">
      <c r="BL78" s="594" t="n">
        <v>44317</v>
      </c>
    </row>
    <row r="79" customFormat="false" ht="30" hidden="true" customHeight="true" outlineLevel="0" collapsed="false">
      <c r="BL79" s="594" t="n">
        <v>44348</v>
      </c>
    </row>
    <row r="80" customFormat="false" ht="30" hidden="true" customHeight="true" outlineLevel="0" collapsed="false">
      <c r="BL80" s="594" t="n">
        <v>44378</v>
      </c>
    </row>
    <row r="81" customFormat="false" ht="30" hidden="true" customHeight="true" outlineLevel="0" collapsed="false">
      <c r="BL81" s="594" t="n">
        <v>44409</v>
      </c>
    </row>
    <row r="82" customFormat="false" ht="30" hidden="true" customHeight="true" outlineLevel="0" collapsed="false">
      <c r="BL82" s="594" t="n">
        <v>44440</v>
      </c>
    </row>
    <row r="83" customFormat="false" ht="30" hidden="true" customHeight="true" outlineLevel="0" collapsed="false">
      <c r="BL83" s="594" t="n">
        <v>44470</v>
      </c>
    </row>
    <row r="84" customFormat="false" ht="30" hidden="true" customHeight="true" outlineLevel="0" collapsed="false">
      <c r="BL84" s="594" t="n">
        <v>44501</v>
      </c>
    </row>
    <row r="85" customFormat="false" ht="30" hidden="true" customHeight="true" outlineLevel="0" collapsed="false">
      <c r="BL85" s="594" t="n">
        <v>44531</v>
      </c>
    </row>
    <row r="86" customFormat="false" ht="30" hidden="true" customHeight="true" outlineLevel="0" collapsed="false">
      <c r="BL86" s="594" t="n">
        <v>44562</v>
      </c>
    </row>
    <row r="87" customFormat="false" ht="30" hidden="true" customHeight="true" outlineLevel="0" collapsed="false">
      <c r="BL87" s="594" t="n">
        <v>44593</v>
      </c>
    </row>
    <row r="88" customFormat="false" ht="30" hidden="true" customHeight="true" outlineLevel="0" collapsed="false">
      <c r="BL88" s="594" t="n">
        <v>44621</v>
      </c>
    </row>
    <row r="89" customFormat="false" ht="30" hidden="true" customHeight="true" outlineLevel="0" collapsed="false">
      <c r="BL89" s="594" t="n">
        <v>44652</v>
      </c>
    </row>
    <row r="90" customFormat="false" ht="30" hidden="true" customHeight="true" outlineLevel="0" collapsed="false">
      <c r="BL90" s="594" t="n">
        <v>44682</v>
      </c>
    </row>
    <row r="91" customFormat="false" ht="30" hidden="true" customHeight="true" outlineLevel="0" collapsed="false">
      <c r="BL91" s="594" t="n">
        <v>44713</v>
      </c>
    </row>
    <row r="92" customFormat="false" ht="30" hidden="true" customHeight="true" outlineLevel="0" collapsed="false">
      <c r="BL92" s="594" t="n">
        <v>44743</v>
      </c>
    </row>
    <row r="93" customFormat="false" ht="30" hidden="true" customHeight="true" outlineLevel="0" collapsed="false">
      <c r="BL93" s="594" t="n">
        <v>44774</v>
      </c>
    </row>
    <row r="94" customFormat="false" ht="30" hidden="true" customHeight="true" outlineLevel="0" collapsed="false">
      <c r="BL94" s="594" t="n">
        <v>44805</v>
      </c>
    </row>
    <row r="95" customFormat="false" ht="30" hidden="true" customHeight="true" outlineLevel="0" collapsed="false">
      <c r="BL95" s="594" t="n">
        <v>44835</v>
      </c>
    </row>
    <row r="96" customFormat="false" ht="30" hidden="true" customHeight="true" outlineLevel="0" collapsed="false">
      <c r="BL96" s="594" t="n">
        <v>44866</v>
      </c>
    </row>
    <row r="97" customFormat="false" ht="30" hidden="true" customHeight="true" outlineLevel="0" collapsed="false">
      <c r="BL97" s="594" t="n">
        <v>44896</v>
      </c>
    </row>
    <row r="98" customFormat="false" ht="30" hidden="true" customHeight="true" outlineLevel="0" collapsed="false">
      <c r="BL98" s="594" t="n">
        <v>44927</v>
      </c>
    </row>
    <row r="99" customFormat="false" ht="30" hidden="true" customHeight="true" outlineLevel="0" collapsed="false">
      <c r="BL99" s="594" t="n">
        <v>44958</v>
      </c>
    </row>
    <row r="100" customFormat="false" ht="30" hidden="true" customHeight="true" outlineLevel="0" collapsed="false">
      <c r="BL100" s="594" t="n">
        <v>44986</v>
      </c>
    </row>
    <row r="101" customFormat="false" ht="30" hidden="true" customHeight="true" outlineLevel="0" collapsed="false">
      <c r="BL101" s="594" t="n">
        <v>45017</v>
      </c>
    </row>
    <row r="102" customFormat="false" ht="30" hidden="true" customHeight="true" outlineLevel="0" collapsed="false">
      <c r="BL102" s="594" t="n">
        <v>45047</v>
      </c>
    </row>
    <row r="103" customFormat="false" ht="30" hidden="true" customHeight="true" outlineLevel="0" collapsed="false">
      <c r="BL103" s="594" t="n">
        <v>45078</v>
      </c>
    </row>
    <row r="104" customFormat="false" ht="30" hidden="true" customHeight="true" outlineLevel="0" collapsed="false">
      <c r="BL104" s="594" t="n">
        <v>45108</v>
      </c>
    </row>
    <row r="105" customFormat="false" ht="30" hidden="true" customHeight="true" outlineLevel="0" collapsed="false">
      <c r="BL105" s="594" t="n">
        <v>45139</v>
      </c>
    </row>
    <row r="106" customFormat="false" ht="30" hidden="true" customHeight="true" outlineLevel="0" collapsed="false">
      <c r="BL106" s="594" t="n">
        <v>45170</v>
      </c>
    </row>
    <row r="107" customFormat="false" ht="30" hidden="true" customHeight="true" outlineLevel="0" collapsed="false">
      <c r="BL107" s="594" t="n">
        <v>45200</v>
      </c>
    </row>
    <row r="108" customFormat="false" ht="30" hidden="true" customHeight="true" outlineLevel="0" collapsed="false">
      <c r="BL108" s="594" t="n">
        <v>45231</v>
      </c>
    </row>
    <row r="109" customFormat="false" ht="30" hidden="true" customHeight="true" outlineLevel="0" collapsed="false">
      <c r="BL109" s="594" t="n">
        <v>45261</v>
      </c>
    </row>
    <row r="110" customFormat="false" ht="30" hidden="true" customHeight="true" outlineLevel="0" collapsed="false">
      <c r="BL110" s="594" t="n">
        <v>45292</v>
      </c>
    </row>
    <row r="111" customFormat="false" ht="30" hidden="true" customHeight="true" outlineLevel="0" collapsed="false">
      <c r="BL111" s="594" t="n">
        <v>45323</v>
      </c>
    </row>
    <row r="112" customFormat="false" ht="30" hidden="true" customHeight="true" outlineLevel="0" collapsed="false">
      <c r="BL112" s="594" t="n">
        <v>45352</v>
      </c>
    </row>
    <row r="113" customFormat="false" ht="30" hidden="true" customHeight="true" outlineLevel="0" collapsed="false">
      <c r="BL113" s="594" t="n">
        <v>45383</v>
      </c>
    </row>
    <row r="114" customFormat="false" ht="30" hidden="true" customHeight="true" outlineLevel="0" collapsed="false">
      <c r="BL114" s="594" t="n">
        <v>45413</v>
      </c>
    </row>
    <row r="115" customFormat="false" ht="30" hidden="true" customHeight="true" outlineLevel="0" collapsed="false">
      <c r="BL115" s="594" t="n">
        <v>45444</v>
      </c>
    </row>
    <row r="116" customFormat="false" ht="30" hidden="true" customHeight="true" outlineLevel="0" collapsed="false">
      <c r="BL116" s="594" t="n">
        <v>45474</v>
      </c>
    </row>
    <row r="117" customFormat="false" ht="30" hidden="true" customHeight="true" outlineLevel="0" collapsed="false">
      <c r="BL117" s="594" t="n">
        <v>45505</v>
      </c>
    </row>
    <row r="118" customFormat="false" ht="30" hidden="true" customHeight="true" outlineLevel="0" collapsed="false">
      <c r="BL118" s="594" t="n">
        <v>45536</v>
      </c>
    </row>
    <row r="119" customFormat="false" ht="30" hidden="true" customHeight="true" outlineLevel="0" collapsed="false">
      <c r="BL119" s="594" t="n">
        <v>45566</v>
      </c>
    </row>
    <row r="120" customFormat="false" ht="30" hidden="true" customHeight="true" outlineLevel="0" collapsed="false">
      <c r="BL120" s="594" t="n">
        <v>45597</v>
      </c>
    </row>
    <row r="121" customFormat="false" ht="30" hidden="true" customHeight="true" outlineLevel="0" collapsed="false">
      <c r="BL121" s="594" t="n">
        <v>45627</v>
      </c>
    </row>
    <row r="122" customFormat="false" ht="30" hidden="true" customHeight="true" outlineLevel="0" collapsed="false">
      <c r="BL122" s="594" t="n">
        <v>45658</v>
      </c>
    </row>
    <row r="123" customFormat="false" ht="30" hidden="true" customHeight="true" outlineLevel="0" collapsed="false">
      <c r="BL123" s="594" t="n">
        <v>45689</v>
      </c>
    </row>
    <row r="124" customFormat="false" ht="30" hidden="true" customHeight="true" outlineLevel="0" collapsed="false">
      <c r="BL124" s="594" t="n">
        <v>45717</v>
      </c>
    </row>
    <row r="125" customFormat="false" ht="30" hidden="true" customHeight="true" outlineLevel="0" collapsed="false">
      <c r="BL125" s="594" t="n">
        <v>45748</v>
      </c>
    </row>
    <row r="126" customFormat="false" ht="30" hidden="true" customHeight="true" outlineLevel="0" collapsed="false">
      <c r="BL126" s="594" t="n">
        <v>45778</v>
      </c>
    </row>
    <row r="127" customFormat="false" ht="30" hidden="true" customHeight="true" outlineLevel="0" collapsed="false">
      <c r="BL127" s="594" t="n">
        <v>45809</v>
      </c>
    </row>
    <row r="128" customFormat="false" ht="30" hidden="true" customHeight="true" outlineLevel="0" collapsed="false">
      <c r="BL128" s="594" t="n">
        <v>45839</v>
      </c>
    </row>
    <row r="129" customFormat="false" ht="30" hidden="true" customHeight="true" outlineLevel="0" collapsed="false">
      <c r="BL129" s="594" t="n">
        <v>45870</v>
      </c>
    </row>
    <row r="130" customFormat="false" ht="30" hidden="true" customHeight="true" outlineLevel="0" collapsed="false">
      <c r="BL130" s="594" t="n">
        <v>45901</v>
      </c>
    </row>
    <row r="131" customFormat="false" ht="30" hidden="true" customHeight="true" outlineLevel="0" collapsed="false">
      <c r="BL131" s="594" t="n">
        <v>45931</v>
      </c>
    </row>
    <row r="132" customFormat="false" ht="30" hidden="true" customHeight="true" outlineLevel="0" collapsed="false">
      <c r="BL132" s="594" t="n">
        <v>45962</v>
      </c>
    </row>
    <row r="133" customFormat="false" ht="30" hidden="true" customHeight="true" outlineLevel="0" collapsed="false">
      <c r="BL133" s="594" t="n">
        <v>45992</v>
      </c>
    </row>
    <row r="134" customFormat="false" ht="30" hidden="true" customHeight="true" outlineLevel="0" collapsed="false">
      <c r="BL134" s="594"/>
    </row>
    <row r="135" customFormat="false" ht="30" hidden="true" customHeight="true" outlineLevel="0" collapsed="false">
      <c r="BL135" s="594"/>
    </row>
    <row r="136" customFormat="false" ht="30" hidden="true" customHeight="true" outlineLevel="0" collapsed="false">
      <c r="BL136" s="594"/>
    </row>
    <row r="137" customFormat="false" ht="30" hidden="true" customHeight="true" outlineLevel="0" collapsed="false">
      <c r="BL137" s="594"/>
    </row>
    <row r="138" customFormat="false" ht="30" hidden="true" customHeight="true" outlineLevel="0" collapsed="false">
      <c r="BL138" s="594"/>
    </row>
    <row r="139" customFormat="false" ht="30" hidden="true" customHeight="true" outlineLevel="0" collapsed="false">
      <c r="BL139" s="594"/>
    </row>
    <row r="140" customFormat="false" ht="30" hidden="true" customHeight="true" outlineLevel="0" collapsed="false">
      <c r="BL140" s="594"/>
    </row>
    <row r="141" customFormat="false" ht="30" hidden="true" customHeight="true" outlineLevel="0" collapsed="false">
      <c r="BL141" s="594"/>
    </row>
    <row r="142" customFormat="false" ht="30" hidden="true" customHeight="true" outlineLevel="0" collapsed="false">
      <c r="BL142" s="594"/>
    </row>
    <row r="143" customFormat="false" ht="30" hidden="true" customHeight="true" outlineLevel="0" collapsed="false">
      <c r="BL143" s="594"/>
    </row>
    <row r="144" customFormat="false" ht="30" hidden="true" customHeight="true" outlineLevel="0" collapsed="false">
      <c r="BL144" s="594"/>
    </row>
    <row r="145" customFormat="false" ht="30" hidden="true" customHeight="true" outlineLevel="0" collapsed="false">
      <c r="BL145" s="594"/>
    </row>
    <row r="146" customFormat="false" ht="30" hidden="true" customHeight="true" outlineLevel="0" collapsed="false">
      <c r="BL146" s="594"/>
    </row>
    <row r="147" customFormat="false" ht="30" hidden="true" customHeight="true" outlineLevel="0" collapsed="false">
      <c r="BL147" s="594"/>
    </row>
    <row r="148" customFormat="false" ht="30" hidden="true" customHeight="true" outlineLevel="0" collapsed="false">
      <c r="BL148" s="594"/>
    </row>
    <row r="149" customFormat="false" ht="30" hidden="true" customHeight="true" outlineLevel="0" collapsed="false">
      <c r="BL149" s="594"/>
    </row>
    <row r="150" customFormat="false" ht="30" hidden="true" customHeight="true" outlineLevel="0" collapsed="false">
      <c r="BL150" s="594"/>
    </row>
    <row r="151" customFormat="false" ht="30" hidden="true" customHeight="true" outlineLevel="0" collapsed="false">
      <c r="BL151" s="594"/>
    </row>
    <row r="152" customFormat="false" ht="30" hidden="true" customHeight="true" outlineLevel="0" collapsed="false">
      <c r="BL152" s="594"/>
    </row>
    <row r="153" customFormat="false" ht="30" hidden="true" customHeight="true" outlineLevel="0" collapsed="false">
      <c r="BL153" s="594"/>
    </row>
    <row r="154" customFormat="false" ht="30" hidden="true" customHeight="true" outlineLevel="0" collapsed="false">
      <c r="BL154" s="594"/>
    </row>
    <row r="155" customFormat="false" ht="30" hidden="true" customHeight="true" outlineLevel="0" collapsed="false">
      <c r="BL155" s="594"/>
    </row>
    <row r="156" customFormat="false" ht="30" hidden="true" customHeight="true" outlineLevel="0" collapsed="false">
      <c r="BL156" s="594"/>
    </row>
    <row r="157" customFormat="false" ht="30" hidden="true" customHeight="true" outlineLevel="0" collapsed="false">
      <c r="BL157" s="594"/>
    </row>
    <row r="158" customFormat="false" ht="30" hidden="true" customHeight="true" outlineLevel="0" collapsed="false">
      <c r="BL158" s="594"/>
    </row>
    <row r="159" customFormat="false" ht="30" hidden="true" customHeight="true" outlineLevel="0" collapsed="false">
      <c r="BL159" s="594"/>
    </row>
    <row r="160" customFormat="false" ht="30" hidden="true" customHeight="true" outlineLevel="0" collapsed="false">
      <c r="BL160" s="594"/>
    </row>
    <row r="161" customFormat="false" ht="30" hidden="true" customHeight="true" outlineLevel="0" collapsed="false">
      <c r="BL161" s="594"/>
    </row>
    <row r="162" customFormat="false" ht="30" hidden="true" customHeight="true" outlineLevel="0" collapsed="false">
      <c r="BL162" s="594"/>
    </row>
    <row r="163" customFormat="false" ht="30" hidden="true" customHeight="true" outlineLevel="0" collapsed="false">
      <c r="BL163" s="594"/>
    </row>
    <row r="164" customFormat="false" ht="30" hidden="true" customHeight="true" outlineLevel="0" collapsed="false">
      <c r="BL164" s="594"/>
    </row>
    <row r="165" customFormat="false" ht="30" hidden="true" customHeight="true" outlineLevel="0" collapsed="false">
      <c r="BL165" s="594"/>
    </row>
    <row r="166" customFormat="false" ht="30" hidden="true" customHeight="true" outlineLevel="0" collapsed="false">
      <c r="BL166" s="594"/>
    </row>
    <row r="167" customFormat="false" ht="30" hidden="true" customHeight="true" outlineLevel="0" collapsed="false">
      <c r="BL167" s="594"/>
    </row>
    <row r="168" customFormat="false" ht="30" hidden="true" customHeight="true" outlineLevel="0" collapsed="false">
      <c r="BL168" s="594"/>
    </row>
    <row r="169" customFormat="false" ht="30" hidden="true" customHeight="true" outlineLevel="0" collapsed="false">
      <c r="BL169" s="594"/>
    </row>
    <row r="170" customFormat="false" ht="30" hidden="true" customHeight="true" outlineLevel="0" collapsed="false">
      <c r="BL170" s="594"/>
    </row>
    <row r="171" customFormat="false" ht="30" hidden="true" customHeight="true" outlineLevel="0" collapsed="false">
      <c r="BL171" s="594"/>
    </row>
    <row r="172" customFormat="false" ht="30" hidden="true" customHeight="true" outlineLevel="0" collapsed="false">
      <c r="BL172" s="594"/>
    </row>
    <row r="173" customFormat="false" ht="30" hidden="true" customHeight="true" outlineLevel="0" collapsed="false">
      <c r="BL173" s="594"/>
    </row>
    <row r="174" customFormat="false" ht="30" hidden="true" customHeight="true" outlineLevel="0" collapsed="false">
      <c r="BL174" s="594"/>
    </row>
    <row r="175" customFormat="false" ht="30" hidden="true" customHeight="true" outlineLevel="0" collapsed="false">
      <c r="BL175" s="594"/>
    </row>
    <row r="176" customFormat="false" ht="30" hidden="true" customHeight="true" outlineLevel="0" collapsed="false">
      <c r="BL176" s="594"/>
    </row>
    <row r="177" customFormat="false" ht="30" hidden="true" customHeight="true" outlineLevel="0" collapsed="false">
      <c r="BL177" s="594"/>
    </row>
    <row r="178" customFormat="false" ht="30" hidden="true" customHeight="true" outlineLevel="0" collapsed="false">
      <c r="BL178" s="594"/>
    </row>
    <row r="179" customFormat="false" ht="30" hidden="true" customHeight="true" outlineLevel="0" collapsed="false">
      <c r="BL179" s="594"/>
    </row>
    <row r="180" customFormat="false" ht="30" hidden="true" customHeight="true" outlineLevel="0" collapsed="false">
      <c r="BL180" s="594"/>
    </row>
    <row r="181" customFormat="false" ht="30" hidden="true" customHeight="true" outlineLevel="0" collapsed="false">
      <c r="BL181" s="594"/>
    </row>
    <row r="182" customFormat="false" ht="30" hidden="true" customHeight="true" outlineLevel="0" collapsed="false">
      <c r="BL182" s="594"/>
    </row>
    <row r="183" customFormat="false" ht="30" hidden="true" customHeight="true" outlineLevel="0" collapsed="false">
      <c r="BL183" s="594"/>
    </row>
    <row r="184" customFormat="false" ht="30" hidden="true" customHeight="true" outlineLevel="0" collapsed="false">
      <c r="BL184" s="594"/>
    </row>
    <row r="185" customFormat="false" ht="30" hidden="true" customHeight="true" outlineLevel="0" collapsed="false">
      <c r="BL185" s="594"/>
    </row>
    <row r="186" customFormat="false" ht="30" hidden="true" customHeight="true" outlineLevel="0" collapsed="false">
      <c r="BL186" s="594"/>
    </row>
    <row r="187" customFormat="false" ht="30" hidden="true" customHeight="true" outlineLevel="0" collapsed="false">
      <c r="BL187" s="594"/>
    </row>
    <row r="188" customFormat="false" ht="30" hidden="true" customHeight="true" outlineLevel="0" collapsed="false">
      <c r="BL188" s="594"/>
    </row>
    <row r="189" customFormat="false" ht="30" hidden="true" customHeight="true" outlineLevel="0" collapsed="false">
      <c r="BL189" s="594"/>
    </row>
    <row r="190" customFormat="false" ht="30" hidden="true" customHeight="true" outlineLevel="0" collapsed="false">
      <c r="BL190" s="594"/>
    </row>
    <row r="191" customFormat="false" ht="30" hidden="true" customHeight="true" outlineLevel="0" collapsed="false">
      <c r="BL191" s="594"/>
    </row>
    <row r="192" customFormat="false" ht="30" hidden="true" customHeight="true" outlineLevel="0" collapsed="false">
      <c r="BL192" s="594"/>
    </row>
    <row r="193" customFormat="false" ht="30" hidden="true" customHeight="true" outlineLevel="0" collapsed="false">
      <c r="BL193" s="594"/>
    </row>
    <row r="194" customFormat="false" ht="30" hidden="true" customHeight="true" outlineLevel="0" collapsed="false"/>
    <row r="195" customFormat="false" ht="30" hidden="true" customHeight="true" outlineLevel="0" collapsed="false"/>
    <row r="196" customFormat="false" ht="30" hidden="true" customHeight="true" outlineLevel="0" collapsed="false"/>
    <row r="197" customFormat="false" ht="30" hidden="true" customHeight="true" outlineLevel="0" collapsed="false"/>
    <row r="198" customFormat="false" ht="30" hidden="true" customHeight="true" outlineLevel="0" collapsed="false"/>
    <row r="199" customFormat="false" ht="30" hidden="true" customHeight="true" outlineLevel="0" collapsed="false"/>
    <row r="200" customFormat="false" ht="30" hidden="true" customHeight="true" outlineLevel="0" collapsed="false"/>
    <row r="201" customFormat="false" ht="30" hidden="true" customHeight="true" outlineLevel="0" collapsed="false"/>
    <row r="202" customFormat="false" ht="30" hidden="true" customHeight="true" outlineLevel="0" collapsed="false"/>
    <row r="203" customFormat="false" ht="30" hidden="true" customHeight="true" outlineLevel="0" collapsed="false"/>
    <row r="204" customFormat="false" ht="30" hidden="true" customHeight="true" outlineLevel="0" collapsed="false"/>
    <row r="205" customFormat="false" ht="30" hidden="true" customHeight="true" outlineLevel="0" collapsed="false"/>
  </sheetData>
  <mergeCells count="23">
    <mergeCell ref="B2:BG2"/>
    <mergeCell ref="B3:B4"/>
    <mergeCell ref="C3:C4"/>
    <mergeCell ref="D3:D4"/>
    <mergeCell ref="E3:E4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  <mergeCell ref="AJ3:AL3"/>
    <mergeCell ref="AM3:AO3"/>
    <mergeCell ref="AP3:AR3"/>
    <mergeCell ref="AS3:AU3"/>
    <mergeCell ref="AV3:AX3"/>
    <mergeCell ref="AY3:BA3"/>
    <mergeCell ref="BB3:BD3"/>
    <mergeCell ref="BE3:BG3"/>
  </mergeCells>
  <conditionalFormatting sqref="F5:H7 AP5:BG19">
    <cfRule type="expression" priority="2" aboveAverage="0" equalAverage="0" bottom="0" percent="0" rank="0" text="" dxfId="3775">
      <formula>AND(F$4&gt;=$C5,F$4&lt;=$D5)</formula>
    </cfRule>
  </conditionalFormatting>
  <conditionalFormatting sqref="F8:H19">
    <cfRule type="expression" priority="3" aboveAverage="0" equalAverage="0" bottom="0" percent="0" rank="0" text="" dxfId="3776">
      <formula>AND(F$4&gt;=$C8,F$4&lt;=$D8)</formula>
    </cfRule>
  </conditionalFormatting>
  <conditionalFormatting sqref="I5:AO7">
    <cfRule type="expression" priority="4" aboveAverage="0" equalAverage="0" bottom="0" percent="0" rank="0" text="" dxfId="3777">
      <formula>AND(I$4&gt;=$C5,I$4&lt;=$D5)</formula>
    </cfRule>
  </conditionalFormatting>
  <conditionalFormatting sqref="I8:AO19">
    <cfRule type="expression" priority="5" aboveAverage="0" equalAverage="0" bottom="0" percent="0" rank="0" text="" dxfId="3778">
      <formula>AND(I$4&gt;=$C8,I$4&lt;=$D8)</formula>
    </cfRule>
  </conditionalFormatting>
  <conditionalFormatting sqref="E5">
    <cfRule type="cellIs" priority="6" operator="lessThan" aboveAverage="0" equalAverage="0" bottom="0" percent="0" rank="0" text="" dxfId="3779">
      <formula>0</formula>
    </cfRule>
  </conditionalFormatting>
  <conditionalFormatting sqref="E6">
    <cfRule type="cellIs" priority="7" operator="lessThan" aboveAverage="0" equalAverage="0" bottom="0" percent="0" rank="0" text="" dxfId="3780">
      <formula>0</formula>
    </cfRule>
  </conditionalFormatting>
  <conditionalFormatting sqref="E7:E19">
    <cfRule type="cellIs" priority="8" operator="lessThan" aboveAverage="0" equalAverage="0" bottom="0" percent="0" rank="0" text="" dxfId="3781">
      <formula>0</formula>
    </cfRule>
  </conditionalFormatting>
  <conditionalFormatting sqref="B5">
    <cfRule type="cellIs" priority="9" operator="greaterThan" aboveAverage="0" equalAverage="0" bottom="0" percent="0" rank="0" text="" dxfId="3782">
      <formula>0</formula>
    </cfRule>
  </conditionalFormatting>
  <conditionalFormatting sqref="C5">
    <cfRule type="cellIs" priority="10" operator="greaterThan" aboveAverage="0" equalAverage="0" bottom="0" percent="0" rank="0" text="" dxfId="3783">
      <formula>0</formula>
    </cfRule>
  </conditionalFormatting>
  <conditionalFormatting sqref="D5">
    <cfRule type="cellIs" priority="11" operator="greaterThan" aboveAverage="0" equalAverage="0" bottom="0" percent="0" rank="0" text="" dxfId="3784">
      <formula>0</formula>
    </cfRule>
  </conditionalFormatting>
  <conditionalFormatting sqref="B6">
    <cfRule type="cellIs" priority="12" operator="greaterThan" aboveAverage="0" equalAverage="0" bottom="0" percent="0" rank="0" text="" dxfId="3785">
      <formula>0</formula>
    </cfRule>
    <cfRule type="expression" priority="13" aboveAverage="0" equalAverage="0" bottom="0" percent="0" rank="0" text="" dxfId="3786">
      <formula>B5&gt;0</formula>
    </cfRule>
  </conditionalFormatting>
  <conditionalFormatting sqref="C6">
    <cfRule type="cellIs" priority="14" operator="greaterThan" aboveAverage="0" equalAverage="0" bottom="0" percent="0" rank="0" text="" dxfId="3787">
      <formula>0</formula>
    </cfRule>
    <cfRule type="expression" priority="15" aboveAverage="0" equalAverage="0" bottom="0" percent="0" rank="0" text="" dxfId="3788">
      <formula>C5&gt;0</formula>
    </cfRule>
  </conditionalFormatting>
  <conditionalFormatting sqref="D6">
    <cfRule type="cellIs" priority="16" operator="greaterThan" aboveAverage="0" equalAverage="0" bottom="0" percent="0" rank="0" text="" dxfId="3789">
      <formula>0</formula>
    </cfRule>
    <cfRule type="expression" priority="17" aboveAverage="0" equalAverage="0" bottom="0" percent="0" rank="0" text="" dxfId="3790">
      <formula>D5&gt;0</formula>
    </cfRule>
  </conditionalFormatting>
  <conditionalFormatting sqref="B7">
    <cfRule type="cellIs" priority="18" operator="greaterThan" aboveAverage="0" equalAverage="0" bottom="0" percent="0" rank="0" text="" dxfId="3791">
      <formula>0</formula>
    </cfRule>
    <cfRule type="expression" priority="19" aboveAverage="0" equalAverage="0" bottom="0" percent="0" rank="0" text="" dxfId="3792">
      <formula>B6&gt;0</formula>
    </cfRule>
  </conditionalFormatting>
  <conditionalFormatting sqref="B8">
    <cfRule type="cellIs" priority="20" operator="greaterThan" aboveAverage="0" equalAverage="0" bottom="0" percent="0" rank="0" text="" dxfId="3793">
      <formula>0</formula>
    </cfRule>
    <cfRule type="expression" priority="21" aboveAverage="0" equalAverage="0" bottom="0" percent="0" rank="0" text="" dxfId="3794">
      <formula>B7&gt;0</formula>
    </cfRule>
  </conditionalFormatting>
  <conditionalFormatting sqref="B9">
    <cfRule type="cellIs" priority="22" operator="greaterThan" aboveAverage="0" equalAverage="0" bottom="0" percent="0" rank="0" text="" dxfId="3795">
      <formula>0</formula>
    </cfRule>
    <cfRule type="expression" priority="23" aboveAverage="0" equalAverage="0" bottom="0" percent="0" rank="0" text="" dxfId="3796">
      <formula>B8&gt;0</formula>
    </cfRule>
  </conditionalFormatting>
  <conditionalFormatting sqref="B10">
    <cfRule type="cellIs" priority="24" operator="greaterThan" aboveAverage="0" equalAverage="0" bottom="0" percent="0" rank="0" text="" dxfId="3797">
      <formula>0</formula>
    </cfRule>
    <cfRule type="expression" priority="25" aboveAverage="0" equalAverage="0" bottom="0" percent="0" rank="0" text="" dxfId="3798">
      <formula>B9&gt;0</formula>
    </cfRule>
  </conditionalFormatting>
  <conditionalFormatting sqref="B11">
    <cfRule type="cellIs" priority="26" operator="greaterThan" aboveAverage="0" equalAverage="0" bottom="0" percent="0" rank="0" text="" dxfId="3799">
      <formula>0</formula>
    </cfRule>
    <cfRule type="expression" priority="27" aboveAverage="0" equalAverage="0" bottom="0" percent="0" rank="0" text="" dxfId="3800">
      <formula>B10&gt;0</formula>
    </cfRule>
  </conditionalFormatting>
  <conditionalFormatting sqref="B12">
    <cfRule type="cellIs" priority="28" operator="greaterThan" aboveAverage="0" equalAverage="0" bottom="0" percent="0" rank="0" text="" dxfId="3801">
      <formula>0</formula>
    </cfRule>
    <cfRule type="expression" priority="29" aboveAverage="0" equalAverage="0" bottom="0" percent="0" rank="0" text="" dxfId="3802">
      <formula>B11&gt;0</formula>
    </cfRule>
  </conditionalFormatting>
  <conditionalFormatting sqref="B13">
    <cfRule type="cellIs" priority="30" operator="greaterThan" aboveAverage="0" equalAverage="0" bottom="0" percent="0" rank="0" text="" dxfId="3803">
      <formula>0</formula>
    </cfRule>
    <cfRule type="expression" priority="31" aboveAverage="0" equalAverage="0" bottom="0" percent="0" rank="0" text="" dxfId="3804">
      <formula>B12&gt;0</formula>
    </cfRule>
  </conditionalFormatting>
  <conditionalFormatting sqref="B14">
    <cfRule type="cellIs" priority="32" operator="greaterThan" aboveAverage="0" equalAverage="0" bottom="0" percent="0" rank="0" text="" dxfId="3805">
      <formula>0</formula>
    </cfRule>
    <cfRule type="expression" priority="33" aboveAverage="0" equalAverage="0" bottom="0" percent="0" rank="0" text="" dxfId="3806">
      <formula>B13&gt;0</formula>
    </cfRule>
  </conditionalFormatting>
  <conditionalFormatting sqref="B15">
    <cfRule type="cellIs" priority="34" operator="greaterThan" aboveAverage="0" equalAverage="0" bottom="0" percent="0" rank="0" text="" dxfId="3807">
      <formula>0</formula>
    </cfRule>
    <cfRule type="expression" priority="35" aboveAverage="0" equalAverage="0" bottom="0" percent="0" rank="0" text="" dxfId="3808">
      <formula>B14&gt;0</formula>
    </cfRule>
  </conditionalFormatting>
  <conditionalFormatting sqref="B16">
    <cfRule type="cellIs" priority="36" operator="greaterThan" aboveAverage="0" equalAverage="0" bottom="0" percent="0" rank="0" text="" dxfId="3809">
      <formula>0</formula>
    </cfRule>
    <cfRule type="expression" priority="37" aboveAverage="0" equalAverage="0" bottom="0" percent="0" rank="0" text="" dxfId="3810">
      <formula>B15&gt;0</formula>
    </cfRule>
  </conditionalFormatting>
  <conditionalFormatting sqref="B17">
    <cfRule type="cellIs" priority="38" operator="greaterThan" aboveAverage="0" equalAverage="0" bottom="0" percent="0" rank="0" text="" dxfId="3811">
      <formula>0</formula>
    </cfRule>
    <cfRule type="expression" priority="39" aboveAverage="0" equalAverage="0" bottom="0" percent="0" rank="0" text="" dxfId="3812">
      <formula>B16&gt;0</formula>
    </cfRule>
  </conditionalFormatting>
  <conditionalFormatting sqref="B18">
    <cfRule type="cellIs" priority="40" operator="greaterThan" aboveAverage="0" equalAverage="0" bottom="0" percent="0" rank="0" text="" dxfId="3813">
      <formula>0</formula>
    </cfRule>
    <cfRule type="expression" priority="41" aboveAverage="0" equalAverage="0" bottom="0" percent="0" rank="0" text="" dxfId="3814">
      <formula>B17&gt;0</formula>
    </cfRule>
  </conditionalFormatting>
  <conditionalFormatting sqref="B19">
    <cfRule type="cellIs" priority="42" operator="greaterThan" aboveAverage="0" equalAverage="0" bottom="0" percent="0" rank="0" text="" dxfId="3815">
      <formula>0</formula>
    </cfRule>
    <cfRule type="expression" priority="43" aboveAverage="0" equalAverage="0" bottom="0" percent="0" rank="0" text="" dxfId="3816">
      <formula>B18&gt;0</formula>
    </cfRule>
  </conditionalFormatting>
  <conditionalFormatting sqref="C7">
    <cfRule type="cellIs" priority="44" operator="greaterThan" aboveAverage="0" equalAverage="0" bottom="0" percent="0" rank="0" text="" dxfId="3817">
      <formula>0</formula>
    </cfRule>
    <cfRule type="expression" priority="45" aboveAverage="0" equalAverage="0" bottom="0" percent="0" rank="0" text="" dxfId="3818">
      <formula>C6&gt;0</formula>
    </cfRule>
  </conditionalFormatting>
  <conditionalFormatting sqref="C8">
    <cfRule type="cellIs" priority="46" operator="greaterThan" aboveAverage="0" equalAverage="0" bottom="0" percent="0" rank="0" text="" dxfId="3819">
      <formula>0</formula>
    </cfRule>
    <cfRule type="expression" priority="47" aboveAverage="0" equalAverage="0" bottom="0" percent="0" rank="0" text="" dxfId="3820">
      <formula>C7&gt;0</formula>
    </cfRule>
  </conditionalFormatting>
  <conditionalFormatting sqref="C9">
    <cfRule type="cellIs" priority="48" operator="greaterThan" aboveAverage="0" equalAverage="0" bottom="0" percent="0" rank="0" text="" dxfId="3821">
      <formula>0</formula>
    </cfRule>
    <cfRule type="expression" priority="49" aboveAverage="0" equalAverage="0" bottom="0" percent="0" rank="0" text="" dxfId="3822">
      <formula>C8&gt;0</formula>
    </cfRule>
  </conditionalFormatting>
  <conditionalFormatting sqref="C10">
    <cfRule type="cellIs" priority="50" operator="greaterThan" aboveAverage="0" equalAverage="0" bottom="0" percent="0" rank="0" text="" dxfId="3823">
      <formula>0</formula>
    </cfRule>
    <cfRule type="expression" priority="51" aboveAverage="0" equalAverage="0" bottom="0" percent="0" rank="0" text="" dxfId="3824">
      <formula>C9&gt;0</formula>
    </cfRule>
  </conditionalFormatting>
  <conditionalFormatting sqref="C11">
    <cfRule type="cellIs" priority="52" operator="greaterThan" aboveAverage="0" equalAverage="0" bottom="0" percent="0" rank="0" text="" dxfId="3825">
      <formula>0</formula>
    </cfRule>
    <cfRule type="expression" priority="53" aboveAverage="0" equalAverage="0" bottom="0" percent="0" rank="0" text="" dxfId="3826">
      <formula>C10&gt;0</formula>
    </cfRule>
  </conditionalFormatting>
  <conditionalFormatting sqref="C12">
    <cfRule type="cellIs" priority="54" operator="greaterThan" aboveAverage="0" equalAverage="0" bottom="0" percent="0" rank="0" text="" dxfId="3827">
      <formula>0</formula>
    </cfRule>
    <cfRule type="expression" priority="55" aboveAverage="0" equalAverage="0" bottom="0" percent="0" rank="0" text="" dxfId="3828">
      <formula>C11&gt;0</formula>
    </cfRule>
  </conditionalFormatting>
  <conditionalFormatting sqref="C13">
    <cfRule type="cellIs" priority="56" operator="greaterThan" aboveAverage="0" equalAverage="0" bottom="0" percent="0" rank="0" text="" dxfId="3829">
      <formula>0</formula>
    </cfRule>
    <cfRule type="expression" priority="57" aboveAverage="0" equalAverage="0" bottom="0" percent="0" rank="0" text="" dxfId="3830">
      <formula>C12&gt;0</formula>
    </cfRule>
  </conditionalFormatting>
  <conditionalFormatting sqref="C14">
    <cfRule type="cellIs" priority="58" operator="greaterThan" aboveAverage="0" equalAverage="0" bottom="0" percent="0" rank="0" text="" dxfId="3831">
      <formula>0</formula>
    </cfRule>
    <cfRule type="expression" priority="59" aboveAverage="0" equalAverage="0" bottom="0" percent="0" rank="0" text="" dxfId="3832">
      <formula>C13&gt;0</formula>
    </cfRule>
  </conditionalFormatting>
  <conditionalFormatting sqref="C15">
    <cfRule type="cellIs" priority="60" operator="greaterThan" aboveAverage="0" equalAverage="0" bottom="0" percent="0" rank="0" text="" dxfId="3833">
      <formula>0</formula>
    </cfRule>
    <cfRule type="expression" priority="61" aboveAverage="0" equalAverage="0" bottom="0" percent="0" rank="0" text="" dxfId="3834">
      <formula>C14&gt;0</formula>
    </cfRule>
  </conditionalFormatting>
  <conditionalFormatting sqref="C16">
    <cfRule type="cellIs" priority="62" operator="greaterThan" aboveAverage="0" equalAverage="0" bottom="0" percent="0" rank="0" text="" dxfId="3835">
      <formula>0</formula>
    </cfRule>
    <cfRule type="expression" priority="63" aboveAverage="0" equalAverage="0" bottom="0" percent="0" rank="0" text="" dxfId="3836">
      <formula>C15&gt;0</formula>
    </cfRule>
  </conditionalFormatting>
  <conditionalFormatting sqref="C17">
    <cfRule type="cellIs" priority="64" operator="greaterThan" aboveAverage="0" equalAverage="0" bottom="0" percent="0" rank="0" text="" dxfId="3837">
      <formula>0</formula>
    </cfRule>
    <cfRule type="expression" priority="65" aboveAverage="0" equalAverage="0" bottom="0" percent="0" rank="0" text="" dxfId="3838">
      <formula>C16&gt;0</formula>
    </cfRule>
  </conditionalFormatting>
  <conditionalFormatting sqref="C18">
    <cfRule type="cellIs" priority="66" operator="greaterThan" aboveAverage="0" equalAverage="0" bottom="0" percent="0" rank="0" text="" dxfId="3839">
      <formula>0</formula>
    </cfRule>
    <cfRule type="expression" priority="67" aboveAverage="0" equalAverage="0" bottom="0" percent="0" rank="0" text="" dxfId="3840">
      <formula>C17&gt;0</formula>
    </cfRule>
  </conditionalFormatting>
  <conditionalFormatting sqref="C19">
    <cfRule type="cellIs" priority="68" operator="greaterThan" aboveAverage="0" equalAverage="0" bottom="0" percent="0" rank="0" text="" dxfId="3841">
      <formula>0</formula>
    </cfRule>
    <cfRule type="expression" priority="69" aboveAverage="0" equalAverage="0" bottom="0" percent="0" rank="0" text="" dxfId="3842">
      <formula>C18&gt;0</formula>
    </cfRule>
  </conditionalFormatting>
  <conditionalFormatting sqref="D7">
    <cfRule type="cellIs" priority="70" operator="greaterThan" aboveAverage="0" equalAverage="0" bottom="0" percent="0" rank="0" text="" dxfId="3843">
      <formula>0</formula>
    </cfRule>
    <cfRule type="expression" priority="71" aboveAverage="0" equalAverage="0" bottom="0" percent="0" rank="0" text="" dxfId="3844">
      <formula>D6&gt;0</formula>
    </cfRule>
  </conditionalFormatting>
  <conditionalFormatting sqref="D8">
    <cfRule type="cellIs" priority="72" operator="greaterThan" aboveAverage="0" equalAverage="0" bottom="0" percent="0" rank="0" text="" dxfId="3845">
      <formula>0</formula>
    </cfRule>
    <cfRule type="expression" priority="73" aboveAverage="0" equalAverage="0" bottom="0" percent="0" rank="0" text="" dxfId="3846">
      <formula>D7&gt;0</formula>
    </cfRule>
  </conditionalFormatting>
  <conditionalFormatting sqref="D9">
    <cfRule type="cellIs" priority="74" operator="greaterThan" aboveAverage="0" equalAverage="0" bottom="0" percent="0" rank="0" text="" dxfId="3847">
      <formula>0</formula>
    </cfRule>
    <cfRule type="expression" priority="75" aboveAverage="0" equalAverage="0" bottom="0" percent="0" rank="0" text="" dxfId="3848">
      <formula>D8&gt;0</formula>
    </cfRule>
  </conditionalFormatting>
  <conditionalFormatting sqref="D10">
    <cfRule type="cellIs" priority="76" operator="greaterThan" aboveAverage="0" equalAverage="0" bottom="0" percent="0" rank="0" text="" dxfId="3849">
      <formula>0</formula>
    </cfRule>
    <cfRule type="expression" priority="77" aboveAverage="0" equalAverage="0" bottom="0" percent="0" rank="0" text="" dxfId="3850">
      <formula>D9&gt;0</formula>
    </cfRule>
  </conditionalFormatting>
  <conditionalFormatting sqref="D11">
    <cfRule type="cellIs" priority="78" operator="greaterThan" aboveAverage="0" equalAverage="0" bottom="0" percent="0" rank="0" text="" dxfId="3851">
      <formula>0</formula>
    </cfRule>
    <cfRule type="expression" priority="79" aboveAverage="0" equalAverage="0" bottom="0" percent="0" rank="0" text="" dxfId="3852">
      <formula>D10&gt;0</formula>
    </cfRule>
  </conditionalFormatting>
  <conditionalFormatting sqref="D12">
    <cfRule type="cellIs" priority="80" operator="greaterThan" aboveAverage="0" equalAverage="0" bottom="0" percent="0" rank="0" text="" dxfId="3853">
      <formula>0</formula>
    </cfRule>
    <cfRule type="expression" priority="81" aboveAverage="0" equalAverage="0" bottom="0" percent="0" rank="0" text="" dxfId="3854">
      <formula>D11&gt;0</formula>
    </cfRule>
  </conditionalFormatting>
  <conditionalFormatting sqref="D13">
    <cfRule type="cellIs" priority="82" operator="greaterThan" aboveAverage="0" equalAverage="0" bottom="0" percent="0" rank="0" text="" dxfId="3855">
      <formula>0</formula>
    </cfRule>
    <cfRule type="expression" priority="83" aboveAverage="0" equalAverage="0" bottom="0" percent="0" rank="0" text="" dxfId="3856">
      <formula>D12&gt;0</formula>
    </cfRule>
  </conditionalFormatting>
  <conditionalFormatting sqref="D14">
    <cfRule type="cellIs" priority="84" operator="greaterThan" aboveAverage="0" equalAverage="0" bottom="0" percent="0" rank="0" text="" dxfId="3857">
      <formula>0</formula>
    </cfRule>
    <cfRule type="expression" priority="85" aboveAverage="0" equalAverage="0" bottom="0" percent="0" rank="0" text="" dxfId="3858">
      <formula>D13&gt;0</formula>
    </cfRule>
  </conditionalFormatting>
  <conditionalFormatting sqref="D15">
    <cfRule type="cellIs" priority="86" operator="greaterThan" aboveAverage="0" equalAverage="0" bottom="0" percent="0" rank="0" text="" dxfId="3859">
      <formula>0</formula>
    </cfRule>
    <cfRule type="expression" priority="87" aboveAverage="0" equalAverage="0" bottom="0" percent="0" rank="0" text="" dxfId="3860">
      <formula>D14&gt;0</formula>
    </cfRule>
  </conditionalFormatting>
  <conditionalFormatting sqref="D16">
    <cfRule type="cellIs" priority="88" operator="greaterThan" aboveAverage="0" equalAverage="0" bottom="0" percent="0" rank="0" text="" dxfId="3861">
      <formula>0</formula>
    </cfRule>
    <cfRule type="expression" priority="89" aboveAverage="0" equalAverage="0" bottom="0" percent="0" rank="0" text="" dxfId="3862">
      <formula>D15&gt;0</formula>
    </cfRule>
  </conditionalFormatting>
  <conditionalFormatting sqref="D17">
    <cfRule type="cellIs" priority="90" operator="greaterThan" aboveAverage="0" equalAverage="0" bottom="0" percent="0" rank="0" text="" dxfId="3863">
      <formula>0</formula>
    </cfRule>
    <cfRule type="expression" priority="91" aboveAverage="0" equalAverage="0" bottom="0" percent="0" rank="0" text="" dxfId="3864">
      <formula>D16&gt;0</formula>
    </cfRule>
  </conditionalFormatting>
  <conditionalFormatting sqref="D18">
    <cfRule type="cellIs" priority="92" operator="greaterThan" aboveAverage="0" equalAverage="0" bottom="0" percent="0" rank="0" text="" dxfId="3865">
      <formula>0</formula>
    </cfRule>
    <cfRule type="expression" priority="93" aboveAverage="0" equalAverage="0" bottom="0" percent="0" rank="0" text="" dxfId="3866">
      <formula>D17&gt;0</formula>
    </cfRule>
  </conditionalFormatting>
  <conditionalFormatting sqref="D19">
    <cfRule type="cellIs" priority="94" operator="greaterThan" aboveAverage="0" equalAverage="0" bottom="0" percent="0" rank="0" text="" dxfId="3867">
      <formula>0</formula>
    </cfRule>
    <cfRule type="expression" priority="95" aboveAverage="0" equalAverage="0" bottom="0" percent="0" rank="0" text="" dxfId="3868">
      <formula>D18&gt;0</formula>
    </cfRule>
  </conditionalFormatting>
  <dataValidations count="1">
    <dataValidation allowBlank="true" operator="equal" showDropDown="false" showErrorMessage="true" showInputMessage="true" sqref="F3:H3" type="list">
      <formula1>$BL$2:$BL$133</formula1>
      <formula2>0</formula2>
    </dataValidation>
  </dataValidations>
  <printOptions headings="false" gridLines="false" gridLinesSet="true" horizontalCentered="tru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2015-08-03T16:27:54Z</dcterms:created>
  <dc:creator>Ponomarenko Andrey</dc:creator>
  <dc:description/>
  <dc:language>ru-RU</dc:language>
  <cp:lastModifiedBy/>
  <cp:lastPrinted>2015-10-06T12:57:20Z</cp:lastPrinted>
  <dcterms:modified xsi:type="dcterms:W3CDTF">2020-11-20T20:25:35Z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