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Политех учеба\Инж методы расчета многофазного потока\Дз\course_sppu_2021\task 2\"/>
    </mc:Choice>
  </mc:AlternateContent>
  <xr:revisionPtr revIDLastSave="0" documentId="13_ncr:1_{D4B31B39-2FC2-4761-8419-1BDA4760B2E8}" xr6:coauthVersionLast="46" xr6:coauthVersionMax="46" xr10:uidLastSave="{00000000-0000-0000-0000-000000000000}"/>
  <bookViews>
    <workbookView xWindow="-120" yWindow="-120" windowWidth="20730" windowHeight="11160" xr2:uid="{2F10CC82-48F9-48C5-8A78-C029A99B7EE8}"/>
  </bookViews>
  <sheets>
    <sheet name="Лист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9" i="1" l="1"/>
  <c r="C2" i="1"/>
  <c r="D34" i="1"/>
  <c r="D43" i="1"/>
  <c r="D45" i="1"/>
  <c r="D59" i="1"/>
  <c r="D66" i="1"/>
  <c r="D60" i="1"/>
  <c r="D49" i="1"/>
  <c r="D65" i="1"/>
  <c r="E34" i="1"/>
  <c r="H35" i="1"/>
  <c r="K35" i="1"/>
  <c r="G35" i="1"/>
  <c r="D55" i="1"/>
  <c r="D58" i="1"/>
  <c r="D56" i="1"/>
  <c r="D61" i="1"/>
  <c r="K34" i="1"/>
  <c r="E37" i="1"/>
  <c r="I35" i="1" s="1"/>
  <c r="D47" i="1"/>
  <c r="D42" i="1"/>
  <c r="D63" i="1"/>
  <c r="D48" i="1"/>
  <c r="D64" i="1"/>
  <c r="D53" i="1"/>
  <c r="D54" i="1"/>
  <c r="F34" i="1"/>
  <c r="H34" i="1"/>
  <c r="C35" i="1"/>
  <c r="B34" i="1"/>
  <c r="J35" i="1"/>
  <c r="D51" i="1"/>
  <c r="D67" i="1"/>
  <c r="D50" i="1"/>
  <c r="C34" i="1"/>
  <c r="F35" i="1"/>
  <c r="A36" i="1"/>
  <c r="D46" i="1"/>
  <c r="D52" i="1"/>
  <c r="D57" i="1"/>
  <c r="G34" i="1"/>
  <c r="D35" i="1"/>
  <c r="B46" i="1"/>
  <c r="B52" i="1"/>
  <c r="B47" i="1"/>
  <c r="D44" i="1"/>
  <c r="D62" i="1"/>
  <c r="B35" i="1"/>
  <c r="E35" i="1"/>
  <c r="B62" i="1"/>
  <c r="B49" i="1"/>
  <c r="C49" i="1" s="1"/>
  <c r="B64" i="1"/>
  <c r="B43" i="1"/>
  <c r="A71" i="1" a="1"/>
  <c r="B58" i="1"/>
  <c r="B53" i="1"/>
  <c r="A39" i="1"/>
  <c r="B42" i="1"/>
  <c r="C42" i="1" s="1"/>
  <c r="C52" i="1"/>
  <c r="C53" i="1"/>
  <c r="C46" i="1"/>
  <c r="B51" i="1"/>
  <c r="C51" i="1" s="1"/>
  <c r="B67" i="1"/>
  <c r="B66" i="1"/>
  <c r="B56" i="1"/>
  <c r="B57" i="1"/>
  <c r="B50" i="1"/>
  <c r="C50" i="1" s="1"/>
  <c r="J34" i="1"/>
  <c r="C47" i="1"/>
  <c r="B59" i="1"/>
  <c r="B48" i="1"/>
  <c r="C48" i="1" s="1"/>
  <c r="B65" i="1"/>
  <c r="C65" i="1" s="1"/>
  <c r="I34" i="1"/>
  <c r="C67" i="1"/>
  <c r="C64" i="1"/>
  <c r="B63" i="1"/>
  <c r="C63" i="1" s="1"/>
  <c r="C43" i="1"/>
  <c r="C59" i="1"/>
  <c r="C66" i="1"/>
  <c r="C56" i="1"/>
  <c r="C62" i="1"/>
  <c r="C57" i="1"/>
  <c r="C58" i="1"/>
  <c r="B55" i="1"/>
  <c r="C55" i="1" s="1"/>
  <c r="B60" i="1"/>
  <c r="C60" i="1" s="1"/>
  <c r="B44" i="1"/>
  <c r="C44" i="1" s="1"/>
  <c r="B45" i="1"/>
  <c r="C45" i="1" s="1"/>
  <c r="B61" i="1"/>
  <c r="C61" i="1" s="1"/>
  <c r="B54" i="1"/>
  <c r="C54" i="1" s="1"/>
  <c r="G66" i="1" s="1"/>
  <c r="D71" i="1" l="1"/>
  <c r="H71" i="1"/>
  <c r="L71" i="1"/>
  <c r="C72" i="1"/>
  <c r="G72" i="1"/>
  <c r="K72" i="1"/>
  <c r="B73" i="1"/>
  <c r="F73" i="1"/>
  <c r="J73" i="1"/>
  <c r="A74" i="1"/>
  <c r="E74" i="1"/>
  <c r="I74" i="1"/>
  <c r="M74" i="1"/>
  <c r="D75" i="1"/>
  <c r="H75" i="1"/>
  <c r="L75" i="1"/>
  <c r="C76" i="1"/>
  <c r="G76" i="1"/>
  <c r="K76" i="1"/>
  <c r="B77" i="1"/>
  <c r="F77" i="1"/>
  <c r="J77" i="1"/>
  <c r="A78" i="1"/>
  <c r="E78" i="1"/>
  <c r="I78" i="1"/>
  <c r="M78" i="1"/>
  <c r="D79" i="1"/>
  <c r="H79" i="1"/>
  <c r="L79" i="1"/>
  <c r="C80" i="1"/>
  <c r="G80" i="1"/>
  <c r="K80" i="1"/>
  <c r="B81" i="1"/>
  <c r="F81" i="1"/>
  <c r="J81" i="1"/>
  <c r="A82" i="1"/>
  <c r="E82" i="1"/>
  <c r="I82" i="1"/>
  <c r="M82" i="1"/>
  <c r="D83" i="1"/>
  <c r="H83" i="1"/>
  <c r="L83" i="1"/>
  <c r="C84" i="1"/>
  <c r="G84" i="1"/>
  <c r="K84" i="1"/>
  <c r="B85" i="1"/>
  <c r="F85" i="1"/>
  <c r="J85" i="1"/>
  <c r="A86" i="1"/>
  <c r="E86" i="1"/>
  <c r="I86" i="1"/>
  <c r="A71" i="1"/>
  <c r="E71" i="1"/>
  <c r="I71" i="1"/>
  <c r="M71" i="1"/>
  <c r="D72" i="1"/>
  <c r="H72" i="1"/>
  <c r="L72" i="1"/>
  <c r="C73" i="1"/>
  <c r="G73" i="1"/>
  <c r="K73" i="1"/>
  <c r="B74" i="1"/>
  <c r="F74" i="1"/>
  <c r="J74" i="1"/>
  <c r="A75" i="1"/>
  <c r="E75" i="1"/>
  <c r="I75" i="1"/>
  <c r="M75" i="1"/>
  <c r="D76" i="1"/>
  <c r="H76" i="1"/>
  <c r="L76" i="1"/>
  <c r="C77" i="1"/>
  <c r="G77" i="1"/>
  <c r="K77" i="1"/>
  <c r="B78" i="1"/>
  <c r="F78" i="1"/>
  <c r="J78" i="1"/>
  <c r="A79" i="1"/>
  <c r="E79" i="1"/>
  <c r="I79" i="1"/>
  <c r="M79" i="1"/>
  <c r="D80" i="1"/>
  <c r="H80" i="1"/>
  <c r="L80" i="1"/>
  <c r="C81" i="1"/>
  <c r="G81" i="1"/>
  <c r="K81" i="1"/>
  <c r="B82" i="1"/>
  <c r="F82" i="1"/>
  <c r="J82" i="1"/>
  <c r="A83" i="1"/>
  <c r="E83" i="1"/>
  <c r="I83" i="1"/>
  <c r="M83" i="1"/>
  <c r="D84" i="1"/>
  <c r="H84" i="1"/>
  <c r="L84" i="1"/>
  <c r="C85" i="1"/>
  <c r="G85" i="1"/>
  <c r="K85" i="1"/>
  <c r="B86" i="1"/>
  <c r="F86" i="1"/>
  <c r="J86" i="1"/>
  <c r="A87" i="1"/>
  <c r="E87" i="1"/>
  <c r="I87" i="1"/>
  <c r="M87" i="1"/>
  <c r="D88" i="1"/>
  <c r="H88" i="1"/>
  <c r="L88" i="1"/>
  <c r="C89" i="1"/>
  <c r="G89" i="1"/>
  <c r="K89" i="1"/>
  <c r="B90" i="1"/>
  <c r="F90" i="1"/>
  <c r="J90" i="1"/>
  <c r="A91" i="1"/>
  <c r="E91" i="1"/>
  <c r="I91" i="1"/>
  <c r="M91" i="1"/>
  <c r="D92" i="1"/>
  <c r="H92" i="1"/>
  <c r="L92" i="1"/>
  <c r="C93" i="1"/>
  <c r="G93" i="1"/>
  <c r="K93" i="1"/>
  <c r="B94" i="1"/>
  <c r="F94" i="1"/>
  <c r="J94" i="1"/>
  <c r="A95" i="1"/>
  <c r="E95" i="1"/>
  <c r="I95" i="1"/>
  <c r="M95" i="1"/>
  <c r="D96" i="1"/>
  <c r="H96" i="1"/>
  <c r="L96" i="1"/>
  <c r="B71" i="1"/>
  <c r="F71" i="1"/>
  <c r="J71" i="1"/>
  <c r="A72" i="1"/>
  <c r="E72" i="1"/>
  <c r="I72" i="1"/>
  <c r="M72" i="1"/>
  <c r="D73" i="1"/>
  <c r="H73" i="1"/>
  <c r="L73" i="1"/>
  <c r="C74" i="1"/>
  <c r="G74" i="1"/>
  <c r="K74" i="1"/>
  <c r="B75" i="1"/>
  <c r="F75" i="1"/>
  <c r="J75" i="1"/>
  <c r="A76" i="1"/>
  <c r="E76" i="1"/>
  <c r="I76" i="1"/>
  <c r="M76" i="1"/>
  <c r="D77" i="1"/>
  <c r="H77" i="1"/>
  <c r="L77" i="1"/>
  <c r="C78" i="1"/>
  <c r="G78" i="1"/>
  <c r="K78" i="1"/>
  <c r="B79" i="1"/>
  <c r="F79" i="1"/>
  <c r="J79" i="1"/>
  <c r="A80" i="1"/>
  <c r="E80" i="1"/>
  <c r="I80" i="1"/>
  <c r="M80" i="1"/>
  <c r="D81" i="1"/>
  <c r="H81" i="1"/>
  <c r="L81" i="1"/>
  <c r="C82" i="1"/>
  <c r="G82" i="1"/>
  <c r="K82" i="1"/>
  <c r="B83" i="1"/>
  <c r="F83" i="1"/>
  <c r="J83" i="1"/>
  <c r="A84" i="1"/>
  <c r="E84" i="1"/>
  <c r="I84" i="1"/>
  <c r="M84" i="1"/>
  <c r="D85" i="1"/>
  <c r="H85" i="1"/>
  <c r="L85" i="1"/>
  <c r="C86" i="1"/>
  <c r="G86" i="1"/>
  <c r="K86" i="1"/>
  <c r="B87" i="1"/>
  <c r="F87" i="1"/>
  <c r="J87" i="1"/>
  <c r="A88" i="1"/>
  <c r="E88" i="1"/>
  <c r="I88" i="1"/>
  <c r="M88" i="1"/>
  <c r="D89" i="1"/>
  <c r="H89" i="1"/>
  <c r="L89" i="1"/>
  <c r="C90" i="1"/>
  <c r="G90" i="1"/>
  <c r="K90" i="1"/>
  <c r="B91" i="1"/>
  <c r="F91" i="1"/>
  <c r="J91" i="1"/>
  <c r="A92" i="1"/>
  <c r="E92" i="1"/>
  <c r="I92" i="1"/>
  <c r="M92" i="1"/>
  <c r="D93" i="1"/>
  <c r="H93" i="1"/>
  <c r="L93" i="1"/>
  <c r="C94" i="1"/>
  <c r="G94" i="1"/>
  <c r="K94" i="1"/>
  <c r="B95" i="1"/>
  <c r="F95" i="1"/>
  <c r="J95" i="1"/>
  <c r="A96" i="1"/>
  <c r="E96" i="1"/>
  <c r="I96" i="1"/>
  <c r="M96" i="1"/>
  <c r="G71" i="1"/>
  <c r="J72" i="1"/>
  <c r="M73" i="1"/>
  <c r="C75" i="1"/>
  <c r="F76" i="1"/>
  <c r="I77" i="1"/>
  <c r="L78" i="1"/>
  <c r="B80" i="1"/>
  <c r="E81" i="1"/>
  <c r="H82" i="1"/>
  <c r="K83" i="1"/>
  <c r="A85" i="1"/>
  <c r="D86" i="1"/>
  <c r="C87" i="1"/>
  <c r="K87" i="1"/>
  <c r="F88" i="1"/>
  <c r="A89" i="1"/>
  <c r="I89" i="1"/>
  <c r="D90" i="1"/>
  <c r="L90" i="1"/>
  <c r="G91" i="1"/>
  <c r="B92" i="1"/>
  <c r="J92" i="1"/>
  <c r="E93" i="1"/>
  <c r="M93" i="1"/>
  <c r="H94" i="1"/>
  <c r="C95" i="1"/>
  <c r="K95" i="1"/>
  <c r="F96" i="1"/>
  <c r="K71" i="1"/>
  <c r="A73" i="1"/>
  <c r="D74" i="1"/>
  <c r="G75" i="1"/>
  <c r="J76" i="1"/>
  <c r="M77" i="1"/>
  <c r="C79" i="1"/>
  <c r="F80" i="1"/>
  <c r="I81" i="1"/>
  <c r="L82" i="1"/>
  <c r="B84" i="1"/>
  <c r="E85" i="1"/>
  <c r="H86" i="1"/>
  <c r="D87" i="1"/>
  <c r="L87" i="1"/>
  <c r="G88" i="1"/>
  <c r="B89" i="1"/>
  <c r="J89" i="1"/>
  <c r="E90" i="1"/>
  <c r="M90" i="1"/>
  <c r="H91" i="1"/>
  <c r="C92" i="1"/>
  <c r="K92" i="1"/>
  <c r="F93" i="1"/>
  <c r="A94" i="1"/>
  <c r="I94" i="1"/>
  <c r="D95" i="1"/>
  <c r="L95" i="1"/>
  <c r="G96" i="1"/>
  <c r="G92" i="1"/>
  <c r="J93" i="1"/>
  <c r="M94" i="1"/>
  <c r="C96" i="1"/>
  <c r="B72" i="1"/>
  <c r="E73" i="1"/>
  <c r="H74" i="1"/>
  <c r="K75" i="1"/>
  <c r="A77" i="1"/>
  <c r="D78" i="1"/>
  <c r="G79" i="1"/>
  <c r="J80" i="1"/>
  <c r="M81" i="1"/>
  <c r="C83" i="1"/>
  <c r="F84" i="1"/>
  <c r="I85" i="1"/>
  <c r="L86" i="1"/>
  <c r="G87" i="1"/>
  <c r="B88" i="1"/>
  <c r="J88" i="1"/>
  <c r="E89" i="1"/>
  <c r="M89" i="1"/>
  <c r="H90" i="1"/>
  <c r="C91" i="1"/>
  <c r="K91" i="1"/>
  <c r="F92" i="1"/>
  <c r="A93" i="1"/>
  <c r="I93" i="1"/>
  <c r="D94" i="1"/>
  <c r="L94" i="1"/>
  <c r="G95" i="1"/>
  <c r="B96" i="1"/>
  <c r="J96" i="1"/>
  <c r="C71" i="1"/>
  <c r="F72" i="1"/>
  <c r="I73" i="1"/>
  <c r="L74" i="1"/>
  <c r="B76" i="1"/>
  <c r="E77" i="1"/>
  <c r="H78" i="1"/>
  <c r="K79" i="1"/>
  <c r="A81" i="1"/>
  <c r="D82" i="1"/>
  <c r="G83" i="1"/>
  <c r="J84" i="1"/>
  <c r="M85" i="1"/>
  <c r="M86" i="1"/>
  <c r="H87" i="1"/>
  <c r="C88" i="1"/>
  <c r="K88" i="1"/>
  <c r="F89" i="1"/>
  <c r="A90" i="1"/>
  <c r="I90" i="1"/>
  <c r="D91" i="1"/>
  <c r="L91" i="1"/>
  <c r="B93" i="1"/>
  <c r="E94" i="1"/>
  <c r="H95" i="1"/>
  <c r="K9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Виктор Строкин</author>
  </authors>
  <commentList>
    <comment ref="A2" authorId="0" shapeId="0" xr:uid="{A3FB941E-4141-4A19-B486-EDC843B9BF2F}">
      <text>
        <r>
          <rPr>
            <b/>
            <sz val="9"/>
            <color indexed="81"/>
            <rFont val="Tahoma"/>
            <charset val="1"/>
          </rPr>
          <t>Виктор Строкин:</t>
        </r>
        <r>
          <rPr>
            <sz val="9"/>
            <color indexed="81"/>
            <rFont val="Tahoma"/>
            <charset val="1"/>
          </rPr>
          <t xml:space="preserve">
В условии указан внешний диаметр НКТ. Внутренний выбран в соответствии с ГОСТ 633-80</t>
        </r>
      </text>
    </comment>
    <comment ref="B41" authorId="0" shapeId="0" xr:uid="{3FA8D97B-2422-410F-B2ED-95320647191C}">
      <text>
        <r>
          <rPr>
            <b/>
            <sz val="9"/>
            <color indexed="81"/>
            <rFont val="Tahoma"/>
            <family val="2"/>
            <charset val="204"/>
          </rPr>
          <t>Виктор Строкин:</t>
        </r>
        <r>
          <rPr>
            <sz val="9"/>
            <color indexed="81"/>
            <rFont val="Tahoma"/>
            <family val="2"/>
            <charset val="204"/>
          </rPr>
          <t xml:space="preserve">
Поправочный коэфф. Штуцера 1,3</t>
        </r>
      </text>
    </comment>
    <comment ref="G73" authorId="0" shapeId="0" xr:uid="{7169056B-7A27-4371-B59F-2F57125F20EB}">
      <text>
        <r>
          <rPr>
            <b/>
            <sz val="9"/>
            <color indexed="81"/>
            <rFont val="Tahoma"/>
            <family val="2"/>
            <charset val="204"/>
          </rPr>
          <t>Виктор Строкин:</t>
        </r>
        <r>
          <rPr>
            <sz val="9"/>
            <color indexed="81"/>
            <rFont val="Tahoma"/>
            <family val="2"/>
            <charset val="204"/>
          </rPr>
          <t xml:space="preserve">
Распределение типа потока</t>
        </r>
      </text>
    </comment>
  </commentList>
</comments>
</file>

<file path=xl/sharedStrings.xml><?xml version="1.0" encoding="utf-8"?>
<sst xmlns="http://schemas.openxmlformats.org/spreadsheetml/2006/main" count="105" uniqueCount="89">
  <si>
    <t>Параметр</t>
  </si>
  <si>
    <t>обозначение</t>
  </si>
  <si>
    <t>значение</t>
  </si>
  <si>
    <t>ед.изм.</t>
  </si>
  <si>
    <t>Внутренний диаметр НКТ</t>
  </si>
  <si>
    <t>D_in</t>
  </si>
  <si>
    <t>мм</t>
  </si>
  <si>
    <t>Глубина спуска насоса</t>
  </si>
  <si>
    <t>Н_сп</t>
  </si>
  <si>
    <t>Глубина ВДП</t>
  </si>
  <si>
    <t>Н_ВДП</t>
  </si>
  <si>
    <t>м</t>
  </si>
  <si>
    <t>Удлинение на длине ВДП</t>
  </si>
  <si>
    <t>Удл</t>
  </si>
  <si>
    <t>К-сепарации</t>
  </si>
  <si>
    <t>К_сеп</t>
  </si>
  <si>
    <t>-</t>
  </si>
  <si>
    <t>Буферное давление</t>
  </si>
  <si>
    <t>Р_буф</t>
  </si>
  <si>
    <t>ат</t>
  </si>
  <si>
    <t>Линейное давление</t>
  </si>
  <si>
    <t>Р_лин</t>
  </si>
  <si>
    <t>Пластовое давление</t>
  </si>
  <si>
    <t>Р_пл</t>
  </si>
  <si>
    <t>Забойное давление</t>
  </si>
  <si>
    <t>Р_заб</t>
  </si>
  <si>
    <t>Дебит нефти</t>
  </si>
  <si>
    <t>Q_н</t>
  </si>
  <si>
    <t>т/сут</t>
  </si>
  <si>
    <t>Дебит жидкости</t>
  </si>
  <si>
    <t>Q_ж</t>
  </si>
  <si>
    <t>м3/сут</t>
  </si>
  <si>
    <t>Обводненность</t>
  </si>
  <si>
    <t>W</t>
  </si>
  <si>
    <t>% об.</t>
  </si>
  <si>
    <t>Дебит попутного газа</t>
  </si>
  <si>
    <t>Q_пг</t>
  </si>
  <si>
    <t>Газовый фактор</t>
  </si>
  <si>
    <t>Гф</t>
  </si>
  <si>
    <t>м3/м3</t>
  </si>
  <si>
    <t>Давление насыщения</t>
  </si>
  <si>
    <t>Р_нас</t>
  </si>
  <si>
    <t>Температура на устье</t>
  </si>
  <si>
    <t>Т_буф</t>
  </si>
  <si>
    <t>С</t>
  </si>
  <si>
    <t>Температура в пласте</t>
  </si>
  <si>
    <t>Т_пл</t>
  </si>
  <si>
    <t>Вязкость нефти в пластовых условиях</t>
  </si>
  <si>
    <t>μ_н_пл</t>
  </si>
  <si>
    <t>Вязкость воды в пластовых условиях</t>
  </si>
  <si>
    <t>μ_в_пл</t>
  </si>
  <si>
    <t>сПз</t>
  </si>
  <si>
    <t>Вязкость жидкости</t>
  </si>
  <si>
    <t>μ_ж_пл</t>
  </si>
  <si>
    <t>Объемный коэфф нефти</t>
  </si>
  <si>
    <t>В</t>
  </si>
  <si>
    <t>Плотность нефти</t>
  </si>
  <si>
    <t>rho_н</t>
  </si>
  <si>
    <t>г/см3</t>
  </si>
  <si>
    <t>Плотность воды</t>
  </si>
  <si>
    <t>rho_в</t>
  </si>
  <si>
    <t>Задание 1</t>
  </si>
  <si>
    <t>Параметры</t>
  </si>
  <si>
    <t>Корреляция Standing</t>
  </si>
  <si>
    <t>Корреляция McCain</t>
  </si>
  <si>
    <t>Плотность, кг/м3</t>
  </si>
  <si>
    <t>Вязкость, сПз</t>
  </si>
  <si>
    <t>нефть</t>
  </si>
  <si>
    <t>вода</t>
  </si>
  <si>
    <t>газ</t>
  </si>
  <si>
    <t>Дебит ГЖС, м3/сут</t>
  </si>
  <si>
    <t>Газосодержание, м3/м3</t>
  </si>
  <si>
    <t>Задание 2</t>
  </si>
  <si>
    <t>theta_deg</t>
  </si>
  <si>
    <t>Забойное давление в скважине, ат</t>
  </si>
  <si>
    <t>Данные для VLP_кривой</t>
  </si>
  <si>
    <t>Дебит жидкости Q, м3/сут</t>
  </si>
  <si>
    <t xml:space="preserve">К-т продуктивности </t>
  </si>
  <si>
    <t>К_пр</t>
  </si>
  <si>
    <t>м3/сут/ат</t>
  </si>
  <si>
    <t>Буферное давление, ат</t>
  </si>
  <si>
    <t>Забойное давление по IPR, ат</t>
  </si>
  <si>
    <t>Задание 3</t>
  </si>
  <si>
    <t>Решение</t>
  </si>
  <si>
    <t xml:space="preserve">Q_liq = </t>
  </si>
  <si>
    <t>Траектория трубы</t>
  </si>
  <si>
    <t>Смесь</t>
  </si>
  <si>
    <t>Вязкость</t>
  </si>
  <si>
    <t>Плотность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</si>
</sst>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  <charset val="204"/>
    </font>
    <font>
      <b/>
      <sz val="14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left"/>
    </xf>
    <xf numFmtId="0" fontId="0" fillId="0" borderId="1" xfId="0" applyNumberFormat="1" applyBorder="1"/>
    <xf numFmtId="0" fontId="0" fillId="0" borderId="0" xfId="0" applyAlignment="1">
      <alignment vertical="center"/>
    </xf>
    <xf numFmtId="0" fontId="6" fillId="0" borderId="0" xfId="0" applyFont="1" applyAlignment="1">
      <alignment horizontal="center"/>
    </xf>
    <xf numFmtId="2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0" fillId="0" borderId="0" xfId="0" applyFill="1"/>
    <xf numFmtId="0" fontId="6" fillId="0" borderId="0" xfId="0" applyFont="1" applyFill="1" applyAlignment="1">
      <alignment horizontal="center"/>
    </xf>
    <xf numFmtId="0" fontId="1" fillId="3" borderId="0" xfId="0" applyFont="1" applyFill="1" applyAlignment="1">
      <alignment horizontal="center" wrapText="1"/>
    </xf>
    <xf numFmtId="0" fontId="0" fillId="3" borderId="0" xfId="0" applyFill="1"/>
    <xf numFmtId="0" fontId="0" fillId="0" borderId="5" xfId="0" applyBorder="1"/>
    <xf numFmtId="0" fontId="0" fillId="0" borderId="6" xfId="0" applyBorder="1"/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9" xfId="0" applyBorder="1"/>
    <xf numFmtId="0" fontId="4" fillId="0" borderId="0" xfId="0" applyFont="1" applyBorder="1"/>
    <xf numFmtId="0" fontId="0" fillId="0" borderId="10" xfId="0" applyBorder="1"/>
    <xf numFmtId="0" fontId="4" fillId="0" borderId="11" xfId="0" applyFont="1" applyBorder="1"/>
    <xf numFmtId="0" fontId="0" fillId="0" borderId="11" xfId="0" applyBorder="1" applyAlignment="1">
      <alignment horizontal="center" vertical="center"/>
    </xf>
    <xf numFmtId="0" fontId="0" fillId="0" borderId="12" xfId="0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1" fillId="0" borderId="0" xfId="0" applyFont="1" applyFill="1" applyAlignment="1">
      <alignment horizontal="center" wrapText="1"/>
    </xf>
    <xf numFmtId="0" fontId="1" fillId="0" borderId="0" xfId="0" applyFont="1" applyFill="1" applyAlignment="1"/>
    <xf numFmtId="0" fontId="1" fillId="4" borderId="0" xfId="0" applyFont="1" applyFill="1" applyAlignment="1">
      <alignment horizontal="center"/>
    </xf>
    <xf numFmtId="2" fontId="1" fillId="4" borderId="0" xfId="0" applyNumberFormat="1" applyFont="1" applyFill="1" applyAlignment="1">
      <alignment horizontal="center"/>
    </xf>
    <xf numFmtId="0" fontId="5" fillId="2" borderId="0" xfId="0" applyFont="1" applyFill="1"/>
    <xf numFmtId="0" fontId="5" fillId="2" borderId="0" xfId="0" applyFont="1" applyFill="1" applyAlignment="1">
      <alignment horizontal="center" wrapText="1"/>
    </xf>
    <xf numFmtId="0" fontId="0" fillId="5" borderId="0" xfId="0" applyFill="1"/>
    <xf numFmtId="1" fontId="0" fillId="0" borderId="0" xfId="0" applyNumberFormat="1" applyFill="1"/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 узлового анализа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Pwf от Pwh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Лист1!$A$42:$A$67</c:f>
              <c:numCache>
                <c:formatCode>General</c:formatCode>
                <c:ptCount val="26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63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  <c:pt idx="20">
                  <c:v>400</c:v>
                </c:pt>
                <c:pt idx="21">
                  <c:v>420</c:v>
                </c:pt>
                <c:pt idx="22">
                  <c:v>440</c:v>
                </c:pt>
                <c:pt idx="23">
                  <c:v>460</c:v>
                </c:pt>
                <c:pt idx="24">
                  <c:v>480</c:v>
                </c:pt>
                <c:pt idx="25">
                  <c:v>500</c:v>
                </c:pt>
              </c:numCache>
            </c:numRef>
          </c:xVal>
          <c:yVal>
            <c:numRef>
              <c:f>Лист1!$C$42:$C$67</c:f>
              <c:numCache>
                <c:formatCode>0.00</c:formatCode>
                <c:ptCount val="26"/>
                <c:pt idx="0">
                  <c:v>260.47235526620869</c:v>
                </c:pt>
                <c:pt idx="1">
                  <c:v>197.93335660135665</c:v>
                </c:pt>
                <c:pt idx="2">
                  <c:v>159.39502483282092</c:v>
                </c:pt>
                <c:pt idx="3">
                  <c:v>154.04831418519262</c:v>
                </c:pt>
                <c:pt idx="4">
                  <c:v>168.57357262291998</c:v>
                </c:pt>
                <c:pt idx="5">
                  <c:v>187.74109058143083</c:v>
                </c:pt>
                <c:pt idx="6">
                  <c:v>206.41522284661718</c:v>
                </c:pt>
                <c:pt idx="7">
                  <c:v>224.2871702772525</c:v>
                </c:pt>
                <c:pt idx="8">
                  <c:v>241.03595851378284</c:v>
                </c:pt>
                <c:pt idx="9">
                  <c:v>255.19189715503498</c:v>
                </c:pt>
                <c:pt idx="10">
                  <c:v>268.89925991263453</c:v>
                </c:pt>
                <c:pt idx="11">
                  <c:v>282.2227959920055</c:v>
                </c:pt>
                <c:pt idx="12">
                  <c:v>295.22753740914482</c:v>
                </c:pt>
                <c:pt idx="13">
                  <c:v>307.98022891215857</c:v>
                </c:pt>
                <c:pt idx="14">
                  <c:v>320.54589248107629</c:v>
                </c:pt>
                <c:pt idx="15">
                  <c:v>332.97860220150727</c:v>
                </c:pt>
                <c:pt idx="16">
                  <c:v>345.9197729624899</c:v>
                </c:pt>
                <c:pt idx="17">
                  <c:v>359.16205757218893</c:v>
                </c:pt>
                <c:pt idx="18">
                  <c:v>372.50851544270688</c:v>
                </c:pt>
                <c:pt idx="19">
                  <c:v>385.99250946973666</c:v>
                </c:pt>
                <c:pt idx="20">
                  <c:v>399.80571637364005</c:v>
                </c:pt>
                <c:pt idx="21">
                  <c:v>414.77144890750793</c:v>
                </c:pt>
                <c:pt idx="22">
                  <c:v>430.06577192462169</c:v>
                </c:pt>
                <c:pt idx="23">
                  <c:v>445.71634341070381</c:v>
                </c:pt>
                <c:pt idx="24">
                  <c:v>461.74280399922833</c:v>
                </c:pt>
                <c:pt idx="25">
                  <c:v>478.16417000816676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80B-440B-9B7E-DDAF3321AEEA}"/>
            </c:ext>
          </c:extLst>
        </c:ser>
        <c:ser>
          <c:idx val="1"/>
          <c:order val="1"/>
          <c:tx>
            <c:v>Pwf по IPR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Лист1!$A$42:$A$67</c:f>
              <c:numCache>
                <c:formatCode>General</c:formatCode>
                <c:ptCount val="26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63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  <c:pt idx="20">
                  <c:v>400</c:v>
                </c:pt>
                <c:pt idx="21">
                  <c:v>420</c:v>
                </c:pt>
                <c:pt idx="22">
                  <c:v>440</c:v>
                </c:pt>
                <c:pt idx="23">
                  <c:v>460</c:v>
                </c:pt>
                <c:pt idx="24">
                  <c:v>480</c:v>
                </c:pt>
                <c:pt idx="25">
                  <c:v>500</c:v>
                </c:pt>
              </c:numCache>
            </c:numRef>
          </c:xVal>
          <c:yVal>
            <c:numRef>
              <c:f>Лист1!$D$42:$D$67</c:f>
              <c:numCache>
                <c:formatCode>General</c:formatCode>
                <c:ptCount val="26"/>
                <c:pt idx="0">
                  <c:v>356</c:v>
                </c:pt>
                <c:pt idx="1">
                  <c:v>284.57142857142856</c:v>
                </c:pt>
                <c:pt idx="2">
                  <c:v>213.14281904222511</c:v>
                </c:pt>
                <c:pt idx="3">
                  <c:v>113.84303369148769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C22-4B71-A6C1-938F8D5E4D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6973328"/>
        <c:axId val="1426955856"/>
      </c:scatterChart>
      <c:valAx>
        <c:axId val="1426973328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</a:t>
                </a:r>
                <a:r>
                  <a:rPr lang="en-US" baseline="0"/>
                  <a:t> liq, </a:t>
                </a:r>
                <a:r>
                  <a:rPr lang="ru-RU" baseline="0"/>
                  <a:t>м3/сут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26955856"/>
        <c:crosses val="autoZero"/>
        <c:crossBetween val="midCat"/>
      </c:valAx>
      <c:valAx>
        <c:axId val="142695585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Pwf,</a:t>
                </a:r>
                <a:r>
                  <a:rPr lang="en-US" baseline="0"/>
                  <a:t> </a:t>
                </a:r>
                <a:r>
                  <a:rPr lang="ru-RU" baseline="0"/>
                  <a:t>атм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26973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878322</xdr:colOff>
      <xdr:row>40</xdr:row>
      <xdr:rowOff>306067</xdr:rowOff>
    </xdr:from>
    <xdr:to>
      <xdr:col>11</xdr:col>
      <xdr:colOff>201704</xdr:colOff>
      <xdr:row>58</xdr:row>
      <xdr:rowOff>112059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20AE70B2-A7A3-4A27-9DB2-1140AA2651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271528</xdr:colOff>
      <xdr:row>42</xdr:row>
      <xdr:rowOff>33618</xdr:rowOff>
    </xdr:from>
    <xdr:to>
      <xdr:col>6</xdr:col>
      <xdr:colOff>271528</xdr:colOff>
      <xdr:row>55</xdr:row>
      <xdr:rowOff>134471</xdr:rowOff>
    </xdr:to>
    <xdr:cxnSp macro="">
      <xdr:nvCxnSpPr>
        <xdr:cNvPr id="4" name="Прямая соединительная линия 3">
          <a:extLst>
            <a:ext uri="{FF2B5EF4-FFF2-40B4-BE49-F238E27FC236}">
              <a16:creationId xmlns:a16="http://schemas.microsoft.com/office/drawing/2014/main" id="{2846400B-46F6-4CFF-8F15-B43CAAF3B327}"/>
            </a:ext>
          </a:extLst>
        </xdr:cNvPr>
        <xdr:cNvCxnSpPr/>
      </xdr:nvCxnSpPr>
      <xdr:spPr>
        <a:xfrm flipV="1">
          <a:off x="7342009" y="8518195"/>
          <a:ext cx="0" cy="2555372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363416</xdr:colOff>
      <xdr:row>42</xdr:row>
      <xdr:rowOff>171450</xdr:rowOff>
    </xdr:from>
    <xdr:to>
      <xdr:col>9</xdr:col>
      <xdr:colOff>234461</xdr:colOff>
      <xdr:row>44</xdr:row>
      <xdr:rowOff>104775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1D90CF8-C56F-4E14-82D5-581BF456780C}"/>
            </a:ext>
          </a:extLst>
        </xdr:cNvPr>
        <xdr:cNvSpPr txBox="1"/>
      </xdr:nvSpPr>
      <xdr:spPr>
        <a:xfrm>
          <a:off x="7433897" y="8656027"/>
          <a:ext cx="2362199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Заданный</a:t>
          </a:r>
          <a:r>
            <a:rPr lang="ru-RU" sz="1100" baseline="0"/>
            <a:t> дебит</a:t>
          </a:r>
        </a:p>
        <a:p>
          <a:r>
            <a:rPr lang="ru-RU" sz="1100" baseline="0"/>
            <a:t>Сква</a:t>
          </a:r>
          <a:endParaRPr lang="ru-RU" sz="1100"/>
        </a:p>
      </xdr:txBody>
    </xdr:sp>
    <xdr:clientData/>
  </xdr:twoCellAnchor>
  <xdr:twoCellAnchor>
    <xdr:from>
      <xdr:col>4</xdr:col>
      <xdr:colOff>883628</xdr:colOff>
      <xdr:row>59</xdr:row>
      <xdr:rowOff>32239</xdr:rowOff>
    </xdr:from>
    <xdr:to>
      <xdr:col>11</xdr:col>
      <xdr:colOff>212480</xdr:colOff>
      <xdr:row>62</xdr:row>
      <xdr:rowOff>81643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48C04361-C817-4BA5-AE81-A376C7443873}"/>
            </a:ext>
          </a:extLst>
        </xdr:cNvPr>
        <xdr:cNvSpPr txBox="1"/>
      </xdr:nvSpPr>
      <xdr:spPr>
        <a:xfrm>
          <a:off x="5972699" y="11747989"/>
          <a:ext cx="5547317" cy="62090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aseline="0"/>
            <a:t>При заданном дебите образуется дефицит давления. Скважина не фонтанирует. Пересечение кривых достигается на ниспадающем участке газлифтной кривой, фонтанирование неустойчивое. </a:t>
          </a:r>
          <a:endParaRPr lang="ru-RU" sz="1100"/>
        </a:p>
      </xdr:txBody>
    </xdr:sp>
    <xdr:clientData/>
  </xdr:twoCellAnchor>
  <xdr:twoCellAnchor>
    <xdr:from>
      <xdr:col>3</xdr:col>
      <xdr:colOff>312964</xdr:colOff>
      <xdr:row>98</xdr:row>
      <xdr:rowOff>0</xdr:rowOff>
    </xdr:from>
    <xdr:to>
      <xdr:col>8</xdr:col>
      <xdr:colOff>693964</xdr:colOff>
      <xdr:row>101</xdr:row>
      <xdr:rowOff>163286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2182E9E3-DBBB-4DE0-BAF0-C73A4DE13C40}"/>
            </a:ext>
          </a:extLst>
        </xdr:cNvPr>
        <xdr:cNvSpPr txBox="1"/>
      </xdr:nvSpPr>
      <xdr:spPr>
        <a:xfrm>
          <a:off x="4572000" y="19158857"/>
          <a:ext cx="4857750" cy="7347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400"/>
            <a:t>Режим</a:t>
          </a:r>
          <a:r>
            <a:rPr lang="ru-RU" sz="1400" baseline="0"/>
            <a:t> потока по всей высоте скважины пробковый </a:t>
          </a:r>
          <a:r>
            <a:rPr lang="en-US" sz="1400" baseline="0"/>
            <a:t>(slug)</a:t>
          </a:r>
          <a:endParaRPr lang="ru-RU" sz="14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&#1055;&#1086;&#1083;&#1080;&#1090;&#1077;&#1093;%20&#1091;&#1095;&#1077;&#1073;&#1072;/&#1048;&#1085;&#1078;%20&#1084;&#1077;&#1090;&#1086;&#1076;&#1099;%20&#1088;&#1072;&#1089;&#1095;&#1077;&#1090;&#1072;%20&#1084;&#1085;&#1086;&#1075;&#1086;&#1092;&#1072;&#1079;&#1085;&#1086;&#1075;&#1086;%20&#1087;&#1086;&#1090;&#1086;&#1082;&#1072;/&#1044;&#1079;/unifloc_vba-master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</sheetNames>
    <definedNames>
      <definedName name="crv_intersection"/>
      <definedName name="IPR_pwf_atma"/>
      <definedName name="MF_mu_mix_cP"/>
      <definedName name="MF_p_choke_atma"/>
      <definedName name="MF_p_pipe_atma"/>
      <definedName name="MF_q_mix_rc_m3day"/>
      <definedName name="MF_rho_mix_kgm3"/>
      <definedName name="PVT_encode_string"/>
      <definedName name="PVT_mu_gas_cP"/>
      <definedName name="PVT_mu_oil_cP"/>
      <definedName name="PVT_mu_wat_cP"/>
      <definedName name="PVT_rho_gas_kgm3"/>
      <definedName name="PVT_rho_oil_kgm3"/>
      <definedName name="PVT_rho_wat_kgm3"/>
      <definedName name="PVT_rs_m3m3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1732A-3AAC-41CF-942B-3AF102930E65}">
  <sheetPr codeName="Лист1"/>
  <dimension ref="A1:M96"/>
  <sheetViews>
    <sheetView tabSelected="1" topLeftCell="A7" zoomScale="70" zoomScaleNormal="100" workbookViewId="0">
      <selection activeCell="D34" sqref="D34"/>
    </sheetView>
  </sheetViews>
  <sheetFormatPr defaultRowHeight="15" x14ac:dyDescent="0.25"/>
  <cols>
    <col min="1" max="1" width="38.140625" customWidth="1"/>
    <col min="2" max="2" width="13.85546875" customWidth="1"/>
    <col min="3" max="3" width="11.85546875" style="3" customWidth="1"/>
    <col min="4" max="4" width="12.42578125" customWidth="1"/>
    <col min="5" max="5" width="17.85546875" customWidth="1"/>
    <col min="6" max="6" width="11.85546875" customWidth="1"/>
    <col min="7" max="7" width="12.5703125" customWidth="1"/>
    <col min="8" max="8" width="12.28515625" customWidth="1"/>
    <col min="9" max="9" width="12.5703125" customWidth="1"/>
    <col min="10" max="10" width="16.7109375" customWidth="1"/>
    <col min="11" max="11" width="9.140625" customWidth="1"/>
  </cols>
  <sheetData>
    <row r="1" spans="1:7" x14ac:dyDescent="0.25">
      <c r="A1" s="34" t="s">
        <v>0</v>
      </c>
      <c r="B1" s="35" t="s">
        <v>1</v>
      </c>
      <c r="C1" s="36" t="s">
        <v>2</v>
      </c>
      <c r="D1" s="37" t="s">
        <v>3</v>
      </c>
      <c r="E1" s="2"/>
      <c r="F1" s="48" t="s">
        <v>85</v>
      </c>
      <c r="G1" s="48"/>
    </row>
    <row r="2" spans="1:7" x14ac:dyDescent="0.25">
      <c r="A2" s="21" t="s">
        <v>4</v>
      </c>
      <c r="B2" s="22" t="s">
        <v>5</v>
      </c>
      <c r="C2" s="23">
        <f>89-6.5*2</f>
        <v>76</v>
      </c>
      <c r="D2" s="24" t="s">
        <v>6</v>
      </c>
      <c r="F2">
        <v>0</v>
      </c>
      <c r="G2">
        <v>0</v>
      </c>
    </row>
    <row r="3" spans="1:7" x14ac:dyDescent="0.25">
      <c r="A3" s="25" t="s">
        <v>7</v>
      </c>
      <c r="B3" s="26" t="s">
        <v>8</v>
      </c>
      <c r="C3" s="27">
        <v>3108.84</v>
      </c>
      <c r="D3" s="28" t="s">
        <v>11</v>
      </c>
      <c r="F3">
        <v>3536</v>
      </c>
      <c r="G3">
        <v>345</v>
      </c>
    </row>
    <row r="4" spans="1:7" x14ac:dyDescent="0.25">
      <c r="A4" s="25" t="s">
        <v>9</v>
      </c>
      <c r="B4" s="26" t="s">
        <v>10</v>
      </c>
      <c r="C4" s="27">
        <v>3536</v>
      </c>
      <c r="D4" s="28" t="s">
        <v>11</v>
      </c>
    </row>
    <row r="5" spans="1:7" x14ac:dyDescent="0.25">
      <c r="A5" s="25" t="s">
        <v>12</v>
      </c>
      <c r="B5" s="26" t="s">
        <v>13</v>
      </c>
      <c r="C5" s="27">
        <v>345</v>
      </c>
      <c r="D5" s="28" t="s">
        <v>11</v>
      </c>
    </row>
    <row r="6" spans="1:7" x14ac:dyDescent="0.25">
      <c r="A6" s="25" t="s">
        <v>14</v>
      </c>
      <c r="B6" s="26" t="s">
        <v>15</v>
      </c>
      <c r="C6" s="27">
        <v>0.7</v>
      </c>
      <c r="D6" s="28" t="s">
        <v>16</v>
      </c>
    </row>
    <row r="7" spans="1:7" x14ac:dyDescent="0.25">
      <c r="A7" s="25" t="s">
        <v>17</v>
      </c>
      <c r="B7" s="26" t="s">
        <v>18</v>
      </c>
      <c r="C7" s="27">
        <v>35</v>
      </c>
      <c r="D7" s="28" t="s">
        <v>19</v>
      </c>
    </row>
    <row r="8" spans="1:7" x14ac:dyDescent="0.25">
      <c r="A8" s="25" t="s">
        <v>20</v>
      </c>
      <c r="B8" s="26" t="s">
        <v>21</v>
      </c>
      <c r="C8" s="27">
        <v>26</v>
      </c>
      <c r="D8" s="28" t="s">
        <v>19</v>
      </c>
    </row>
    <row r="9" spans="1:7" x14ac:dyDescent="0.25">
      <c r="A9" s="25" t="s">
        <v>22</v>
      </c>
      <c r="B9" s="26" t="s">
        <v>23</v>
      </c>
      <c r="C9" s="27">
        <v>356</v>
      </c>
      <c r="D9" s="28" t="s">
        <v>19</v>
      </c>
    </row>
    <row r="10" spans="1:7" x14ac:dyDescent="0.25">
      <c r="A10" s="25" t="s">
        <v>24</v>
      </c>
      <c r="B10" s="26" t="s">
        <v>25</v>
      </c>
      <c r="C10" s="27">
        <v>109</v>
      </c>
      <c r="D10" s="28" t="s">
        <v>19</v>
      </c>
    </row>
    <row r="11" spans="1:7" x14ac:dyDescent="0.25">
      <c r="A11" s="25" t="s">
        <v>26</v>
      </c>
      <c r="B11" s="26" t="s">
        <v>27</v>
      </c>
      <c r="C11" s="27">
        <v>37</v>
      </c>
      <c r="D11" s="28" t="s">
        <v>28</v>
      </c>
    </row>
    <row r="12" spans="1:7" x14ac:dyDescent="0.25">
      <c r="A12" s="25" t="s">
        <v>29</v>
      </c>
      <c r="B12" s="26" t="s">
        <v>30</v>
      </c>
      <c r="C12" s="27">
        <v>63.1</v>
      </c>
      <c r="D12" s="28" t="s">
        <v>31</v>
      </c>
    </row>
    <row r="13" spans="1:7" x14ac:dyDescent="0.25">
      <c r="A13" s="25" t="s">
        <v>32</v>
      </c>
      <c r="B13" s="26" t="s">
        <v>33</v>
      </c>
      <c r="C13" s="27">
        <v>26</v>
      </c>
      <c r="D13" s="28" t="s">
        <v>34</v>
      </c>
    </row>
    <row r="14" spans="1:7" x14ac:dyDescent="0.25">
      <c r="A14" s="25" t="s">
        <v>35</v>
      </c>
      <c r="B14" s="26" t="s">
        <v>36</v>
      </c>
      <c r="C14" s="27">
        <v>17130.8</v>
      </c>
      <c r="D14" s="28" t="s">
        <v>31</v>
      </c>
    </row>
    <row r="15" spans="1:7" x14ac:dyDescent="0.25">
      <c r="A15" s="25" t="s">
        <v>37</v>
      </c>
      <c r="B15" s="26" t="s">
        <v>38</v>
      </c>
      <c r="C15" s="27">
        <v>461</v>
      </c>
      <c r="D15" s="28" t="s">
        <v>39</v>
      </c>
    </row>
    <row r="16" spans="1:7" x14ac:dyDescent="0.25">
      <c r="A16" s="25" t="s">
        <v>40</v>
      </c>
      <c r="B16" s="26" t="s">
        <v>41</v>
      </c>
      <c r="C16" s="27">
        <v>213.3</v>
      </c>
      <c r="D16" s="28" t="s">
        <v>19</v>
      </c>
    </row>
    <row r="17" spans="1:12" x14ac:dyDescent="0.25">
      <c r="A17" s="25" t="s">
        <v>42</v>
      </c>
      <c r="B17" s="26" t="s">
        <v>43</v>
      </c>
      <c r="C17" s="27">
        <v>20</v>
      </c>
      <c r="D17" s="28" t="s">
        <v>44</v>
      </c>
    </row>
    <row r="18" spans="1:12" x14ac:dyDescent="0.25">
      <c r="A18" s="25" t="s">
        <v>45</v>
      </c>
      <c r="B18" s="26" t="s">
        <v>46</v>
      </c>
      <c r="C18" s="27">
        <v>110</v>
      </c>
      <c r="D18" s="28" t="s">
        <v>44</v>
      </c>
    </row>
    <row r="19" spans="1:12" x14ac:dyDescent="0.25">
      <c r="A19" s="25" t="s">
        <v>47</v>
      </c>
      <c r="B19" s="29" t="s">
        <v>48</v>
      </c>
      <c r="C19" s="27">
        <v>0.2</v>
      </c>
      <c r="D19" s="28" t="s">
        <v>51</v>
      </c>
    </row>
    <row r="20" spans="1:12" x14ac:dyDescent="0.25">
      <c r="A20" s="25" t="s">
        <v>49</v>
      </c>
      <c r="B20" s="29" t="s">
        <v>50</v>
      </c>
      <c r="C20" s="27">
        <v>0.5</v>
      </c>
      <c r="D20" s="28" t="s">
        <v>51</v>
      </c>
    </row>
    <row r="21" spans="1:12" x14ac:dyDescent="0.25">
      <c r="A21" s="25" t="s">
        <v>52</v>
      </c>
      <c r="B21" s="29" t="s">
        <v>53</v>
      </c>
      <c r="C21" s="27">
        <v>0.26</v>
      </c>
      <c r="D21" s="28" t="s">
        <v>51</v>
      </c>
    </row>
    <row r="22" spans="1:12" x14ac:dyDescent="0.25">
      <c r="A22" s="25" t="s">
        <v>54</v>
      </c>
      <c r="B22" s="29" t="s">
        <v>55</v>
      </c>
      <c r="C22" s="27">
        <v>1.5329999999999999</v>
      </c>
      <c r="D22" s="28" t="s">
        <v>16</v>
      </c>
    </row>
    <row r="23" spans="1:12" x14ac:dyDescent="0.25">
      <c r="A23" s="25" t="s">
        <v>56</v>
      </c>
      <c r="B23" s="29" t="s">
        <v>57</v>
      </c>
      <c r="C23" s="27">
        <v>0.79400000000000004</v>
      </c>
      <c r="D23" s="28" t="s">
        <v>58</v>
      </c>
    </row>
    <row r="24" spans="1:12" x14ac:dyDescent="0.25">
      <c r="A24" s="25" t="s">
        <v>59</v>
      </c>
      <c r="B24" s="29" t="s">
        <v>60</v>
      </c>
      <c r="C24" s="27">
        <v>1.0089999999999999</v>
      </c>
      <c r="D24" s="28" t="s">
        <v>58</v>
      </c>
    </row>
    <row r="25" spans="1:12" x14ac:dyDescent="0.25">
      <c r="A25" s="30" t="s">
        <v>77</v>
      </c>
      <c r="B25" s="31" t="s">
        <v>78</v>
      </c>
      <c r="C25" s="32">
        <v>0.28000000000000003</v>
      </c>
      <c r="D25" s="33" t="s">
        <v>79</v>
      </c>
    </row>
    <row r="26" spans="1:12" x14ac:dyDescent="0.25">
      <c r="B26" s="4"/>
    </row>
    <row r="28" spans="1:12" s="1" customFormat="1" x14ac:dyDescent="0.25">
      <c r="A28"/>
      <c r="B28"/>
      <c r="C28" s="3"/>
    </row>
    <row r="29" spans="1:12" x14ac:dyDescent="0.25">
      <c r="A29" s="9"/>
      <c r="B29" s="1"/>
      <c r="C29" s="1"/>
    </row>
    <row r="31" spans="1:12" ht="18.75" x14ac:dyDescent="0.3">
      <c r="A31" s="42" t="s">
        <v>61</v>
      </c>
    </row>
    <row r="32" spans="1:12" x14ac:dyDescent="0.25">
      <c r="A32" s="50" t="s">
        <v>62</v>
      </c>
      <c r="B32" s="51" t="s">
        <v>65</v>
      </c>
      <c r="C32" s="52"/>
      <c r="D32" s="53"/>
      <c r="E32" s="54" t="s">
        <v>66</v>
      </c>
      <c r="F32" s="55"/>
      <c r="G32" s="56"/>
      <c r="H32" s="49" t="s">
        <v>71</v>
      </c>
      <c r="I32" s="57" t="s">
        <v>86</v>
      </c>
      <c r="J32" s="57"/>
      <c r="K32" s="49" t="s">
        <v>70</v>
      </c>
      <c r="L32" s="49"/>
    </row>
    <row r="33" spans="1:12" x14ac:dyDescent="0.25">
      <c r="A33" s="50"/>
      <c r="B33" s="6" t="s">
        <v>67</v>
      </c>
      <c r="C33" s="7" t="s">
        <v>68</v>
      </c>
      <c r="D33" s="6" t="s">
        <v>69</v>
      </c>
      <c r="E33" s="6" t="s">
        <v>67</v>
      </c>
      <c r="F33" s="7" t="s">
        <v>68</v>
      </c>
      <c r="G33" s="6" t="s">
        <v>69</v>
      </c>
      <c r="H33" s="49"/>
      <c r="I33" s="8" t="s">
        <v>87</v>
      </c>
      <c r="J33" s="8" t="s">
        <v>88</v>
      </c>
      <c r="K33" s="49"/>
      <c r="L33" s="49"/>
    </row>
    <row r="34" spans="1:12" x14ac:dyDescent="0.25">
      <c r="A34" s="8" t="s">
        <v>63</v>
      </c>
      <c r="B34" s="8">
        <f>[1]!PVT_rho_oil_kgm3(C7,C17,,,,,C15,C16,C18,C22,,0,C6)</f>
        <v>830.58643711391699</v>
      </c>
      <c r="C34" s="7">
        <f>[1]!PVT_rho_wat_kgm3(C7,C17,,,,,C15,C16,C18,C22,,0,C6)</f>
        <v>998.82583356855241</v>
      </c>
      <c r="D34" s="8">
        <f>[1]!PVT_rho_gas_kgm3(C7,C17,,,,,C15,C16,C18,C22,,0,C6)</f>
        <v>27.701866134622559</v>
      </c>
      <c r="E34" s="8">
        <f>[1]!PVT_mu_oil_cP(C7,C17,,,,,C15,C16,C18,C22,,0,C6)</f>
        <v>20.244493606694604</v>
      </c>
      <c r="F34" s="8">
        <f>[1]!PVT_mu_wat_cP(C7,C17,,,,,C15,C16,C18,C22,,0,C6)</f>
        <v>0.99905847508283185</v>
      </c>
      <c r="G34" s="8">
        <f>[1]!PVT_mu_gas_cP(C7,C17,,,,,C15,C16,C18,C22,,0,C6)</f>
        <v>1.1676727225250471E-2</v>
      </c>
      <c r="H34" s="8">
        <f>[1]!PVT_rs_m3m3(C7,C17,,,,,C15,C16,C18,C22,,0,C6)</f>
        <v>17.016894591664503</v>
      </c>
      <c r="I34" s="8">
        <f>[1]!MF_mu_mix_cP(C12,C13,C7,C17,A36)</f>
        <v>0.11954926097043922</v>
      </c>
      <c r="J34" s="8">
        <f>[1]!MF_rho_mix_kgm3(C12,C13,C7,C17,A36)</f>
        <v>117.97531348379999</v>
      </c>
      <c r="K34" s="8">
        <f>[1]!MF_q_mix_rc_m3day(C12,C13,C7,C17)</f>
        <v>168.36468553458303</v>
      </c>
      <c r="L34" s="10"/>
    </row>
    <row r="35" spans="1:12" x14ac:dyDescent="0.25">
      <c r="A35" s="8" t="s">
        <v>64</v>
      </c>
      <c r="B35" s="8">
        <f>[1]!PVT_rho_oil_kgm3(C7,C17,,,,,C15,C16,C18,C22,,1,C6)</f>
        <v>803.19553348647355</v>
      </c>
      <c r="C35" s="7">
        <f>[1]!PVT_rho_wat_kgm3(C7,C17,,,,,C15,C16,C18,C22,,1,C6)</f>
        <v>998.82583356855241</v>
      </c>
      <c r="D35" s="8">
        <f>[1]!PVT_rho_gas_kgm3(C7,C17,,,,,C15,C16,C18,C22,,1,C6)</f>
        <v>27.701866134622559</v>
      </c>
      <c r="E35" s="8">
        <f>[1]!PVT_mu_oil_cP(C7,C17,,,,,C15,C16,C18,C22,,1,C6)</f>
        <v>6.1619515417647541</v>
      </c>
      <c r="F35" s="8">
        <f>[1]!PVT_mu_wat_cP(C7,C17,,,,,C15,C16,C18,C22,,1,C6)</f>
        <v>0.99905847508283185</v>
      </c>
      <c r="G35" s="8">
        <f>[1]!PVT_mu_gas_cP(C7,C17,,,,,C15,C16,C18,C22,,1,C6)</f>
        <v>1.1676727225250471E-2</v>
      </c>
      <c r="H35" s="8">
        <f>[1]!PVT_rs_m3m3(C7,C17,,,,,C15,C16,C18,C22,,1,C6)</f>
        <v>26.113619582377652</v>
      </c>
      <c r="I35" s="8">
        <f>[1]!MF_mu_mix_cP(C12,C13,C7,C17,E37)</f>
        <v>8.329807978914508E-2</v>
      </c>
      <c r="J35" s="8">
        <f>[1]!MF_rho_mix_kgm3(C12,C13,C7,C17,E37)</f>
        <v>119.96601179941509</v>
      </c>
      <c r="K35" s="8">
        <f>[1]!MF_q_mix_rc_m3day(C12,C13,C7,C17)</f>
        <v>168.36468553458303</v>
      </c>
      <c r="L35" s="8"/>
    </row>
    <row r="36" spans="1:12" x14ac:dyDescent="0.25">
      <c r="A36" t="str">
        <f>[1]!PVT_encode_string(,,,,C15,C16,C18,C22,C19,0,C6,,,0)</f>
        <v>{"gamma_gas":0.6,"gamma_oil":0.86,"gamma_wat":1,"rsb_m3m3":100,"rp_m3m3":461,"pb_atma":213.3,"t_res_C":110,"bob_m3m3":1.533,"muob_cP":0.2,"PVTcorr":0,"ksep_fr":0.7}</v>
      </c>
    </row>
    <row r="37" spans="1:12" ht="18.75" x14ac:dyDescent="0.3">
      <c r="A37" s="42" t="s">
        <v>72</v>
      </c>
      <c r="E37" t="str">
        <f>[1]!PVT_encode_string(,,,,C15,C16,C18,C22,C19,1,C6,,,0)</f>
        <v>{"gamma_gas":0.6,"gamma_oil":0.86,"gamma_wat":1,"rsb_m3m3":100,"rp_m3m3":461,"pb_atma":213.3,"t_res_C":110,"bob_m3m3":1.533,"muob_cP":0.2,"PVTcorr":1,"ksep_fr":0.7}</v>
      </c>
    </row>
    <row r="38" spans="1:12" x14ac:dyDescent="0.25">
      <c r="A38" s="5" t="s">
        <v>74</v>
      </c>
      <c r="B38" t="s">
        <v>73</v>
      </c>
    </row>
    <row r="39" spans="1:12" x14ac:dyDescent="0.25">
      <c r="A39" s="1">
        <f>[1]!MF_p_pipe_atma(C7,C17,C18,C4,B39,C2,C12,C13,0,A36,10,1)</f>
        <v>152.03689950182931</v>
      </c>
      <c r="B39">
        <f>ACOS(C5/C4)*180/3.14159265</f>
        <v>84.400865176997073</v>
      </c>
    </row>
    <row r="40" spans="1:12" x14ac:dyDescent="0.25">
      <c r="A40" s="46" t="s">
        <v>75</v>
      </c>
      <c r="B40" s="46"/>
      <c r="C40" s="46"/>
      <c r="D40" s="46"/>
      <c r="E40" s="11"/>
    </row>
    <row r="41" spans="1:12" ht="45" x14ac:dyDescent="0.25">
      <c r="A41" s="14" t="s">
        <v>76</v>
      </c>
      <c r="B41" s="15" t="s">
        <v>80</v>
      </c>
      <c r="C41" s="14" t="s">
        <v>24</v>
      </c>
      <c r="D41" s="19" t="s">
        <v>81</v>
      </c>
      <c r="E41" s="11"/>
    </row>
    <row r="42" spans="1:12" x14ac:dyDescent="0.25">
      <c r="A42" s="1">
        <v>0</v>
      </c>
      <c r="B42" s="13">
        <f>[1]!MF_p_choke_atma(A42,26,10,$C$8,0,$C$2,$C$17,1.1,$A$36,0)</f>
        <v>26</v>
      </c>
      <c r="C42" s="13">
        <f>[1]!MF_p_pipe_atma(B42,$C$17,$C$18,$C$4,$B$39,$C$2,A42,$C$13,0,$A$36,10,1)</f>
        <v>260.47235526620869</v>
      </c>
      <c r="D42" s="20">
        <f>[1]!IPR_pwf_atma($C$25,$C$9,A42,$C$13,$C$16)</f>
        <v>356</v>
      </c>
      <c r="E42" s="11"/>
    </row>
    <row r="43" spans="1:12" x14ac:dyDescent="0.25">
      <c r="A43" s="1">
        <v>20</v>
      </c>
      <c r="B43" s="13">
        <f>[1]!MF_p_choke_atma(A43,26,10,$C$8,0,$C$2,$C$17,1.1,$A$36,0)</f>
        <v>26.770843505859375</v>
      </c>
      <c r="C43" s="13">
        <f>[1]!MF_p_pipe_atma(B43,$C$17,$C$18,$C$4,$B$39,$C$2,A43,$C$13,0,$A$36,10,1)</f>
        <v>197.93335660135665</v>
      </c>
      <c r="D43" s="20">
        <f>[1]!IPR_pwf_atma($C$25,$C$9,A43,$C$13,$C$16)</f>
        <v>284.57142857142856</v>
      </c>
      <c r="E43" s="11"/>
    </row>
    <row r="44" spans="1:12" x14ac:dyDescent="0.25">
      <c r="A44" s="12">
        <v>40</v>
      </c>
      <c r="B44" s="13">
        <f>[1]!MF_p_choke_atma(A44,26,10,$C$8,0,$C$2,$C$17,1.1,$A$36,0)</f>
        <v>29.323394775390625</v>
      </c>
      <c r="C44" s="13">
        <f>[1]!MF_p_pipe_atma(B44,$C$17,$C$18,$C$4,$B$39,$C$2,A44,$C$13,0,$A$36,10,1)</f>
        <v>159.39502483282092</v>
      </c>
      <c r="D44" s="20">
        <f>[1]!IPR_pwf_atma($C$25,$C$9,A44,$C$13,$C$16)</f>
        <v>213.14281904222511</v>
      </c>
    </row>
    <row r="45" spans="1:12" x14ac:dyDescent="0.25">
      <c r="A45" s="1">
        <v>63</v>
      </c>
      <c r="B45" s="13">
        <f>[1]!MF_p_choke_atma(A45,26,10,$C$8,0,$C$2,$C$17,1.1,$A$36,0)</f>
        <v>35.62542724609375</v>
      </c>
      <c r="C45" s="13">
        <f>[1]!MF_p_pipe_atma(B45,$C$17,$C$18,$C$4,$B$39,$C$2,A45,$C$13,0,$A$36,10,1)</f>
        <v>154.04831418519262</v>
      </c>
      <c r="D45" s="20">
        <f>[1]!IPR_pwf_atma($C$25,$C$9,A45,$C$13,$C$16)</f>
        <v>113.84303369148769</v>
      </c>
    </row>
    <row r="46" spans="1:12" x14ac:dyDescent="0.25">
      <c r="A46" s="1">
        <v>80</v>
      </c>
      <c r="B46" s="13">
        <f>[1]!MF_p_choke_atma(A46,26,10,$C$8,0,$C$2,$C$17,1.1,$A$36,0)</f>
        <v>44.19952392578125</v>
      </c>
      <c r="C46" s="13">
        <f>[1]!MF_p_pipe_atma(B46,$C$17,$C$18,$C$4,$B$39,$C$2,A46,$C$13,0,$A$36,10,1)</f>
        <v>168.57357262291998</v>
      </c>
      <c r="D46" s="20">
        <f>[1]!IPR_pwf_atma($C$25,$C$9,A46,$C$13,$C$16)</f>
        <v>0</v>
      </c>
    </row>
    <row r="47" spans="1:12" x14ac:dyDescent="0.25">
      <c r="A47" s="1">
        <v>100</v>
      </c>
      <c r="B47" s="13">
        <f>[1]!MF_p_choke_atma(A47,26,10,$C$8,0,$C$2,$C$17,1.1,$A$36,0)</f>
        <v>54.56524658203125</v>
      </c>
      <c r="C47" s="13">
        <f>[1]!MF_p_pipe_atma(B47,$C$17,$C$18,$C$4,$B$39,$C$2,A47,$C$13,0,$A$36,10,1)</f>
        <v>187.74109058143083</v>
      </c>
      <c r="D47" s="20">
        <f>[1]!IPR_pwf_atma($C$25,$C$9,A47,$C$13,$C$16)</f>
        <v>0</v>
      </c>
    </row>
    <row r="48" spans="1:12" ht="13.5" customHeight="1" x14ac:dyDescent="0.25">
      <c r="A48" s="12">
        <v>120</v>
      </c>
      <c r="B48" s="13">
        <f>[1]!MF_p_choke_atma(A48,26,10,$C$8,0,$C$2,$C$17,1.1,$A$36,0)</f>
        <v>64.67388916015625</v>
      </c>
      <c r="C48" s="13">
        <f>[1]!MF_p_pipe_atma(B48,$C$17,$C$18,$C$4,$B$39,$C$2,A48,$C$13,0,$A$36,10,1)</f>
        <v>206.41522284661718</v>
      </c>
      <c r="D48" s="20">
        <f>[1]!IPR_pwf_atma($C$25,$C$9,A48,$C$13,$C$16)</f>
        <v>0</v>
      </c>
    </row>
    <row r="49" spans="1:4" x14ac:dyDescent="0.25">
      <c r="A49" s="1">
        <v>140</v>
      </c>
      <c r="B49" s="13">
        <f>[1]!MF_p_choke_atma(A49,26,10,$C$8,0,$C$2,$C$17,1.1,$A$36,0)</f>
        <v>74.55718994140625</v>
      </c>
      <c r="C49" s="13">
        <f>[1]!MF_p_pipe_atma(B49,$C$17,$C$18,$C$4,$B$39,$C$2,A49,$C$13,0,$A$36,10,1)</f>
        <v>224.2871702772525</v>
      </c>
      <c r="D49" s="20">
        <f>[1]!IPR_pwf_atma($C$25,$C$9,A49,$C$13,$C$16)</f>
        <v>0</v>
      </c>
    </row>
    <row r="50" spans="1:4" x14ac:dyDescent="0.25">
      <c r="A50" s="1">
        <v>160</v>
      </c>
      <c r="B50" s="13">
        <f>[1]!MF_p_choke_atma(A50,26,10,$C$8,0,$C$2,$C$17,1.1,$A$36,0)</f>
        <v>84.24688720703125</v>
      </c>
      <c r="C50" s="13">
        <f>[1]!MF_p_pipe_atma(B50,$C$17,$C$18,$C$4,$B$39,$C$2,A50,$C$13,0,$A$36,10,1)</f>
        <v>241.03595851378284</v>
      </c>
      <c r="D50" s="20">
        <f>[1]!IPR_pwf_atma($C$25,$C$9,A50,$C$13,$C$16)</f>
        <v>0</v>
      </c>
    </row>
    <row r="51" spans="1:4" x14ac:dyDescent="0.25">
      <c r="A51" s="1">
        <v>180</v>
      </c>
      <c r="B51" s="13">
        <f>[1]!MF_p_choke_atma(A51,26,10,$C$8,0,$C$2,$C$17,1.1,$A$36,0)</f>
        <v>93.78265380859375</v>
      </c>
      <c r="C51" s="13">
        <f>[1]!MF_p_pipe_atma(B51,$C$17,$C$18,$C$4,$B$39,$C$2,A51,$C$13,0,$A$36,10,1)</f>
        <v>255.19189715503498</v>
      </c>
      <c r="D51" s="20">
        <f>[1]!IPR_pwf_atma($C$25,$C$9,A51,$C$13,$C$16)</f>
        <v>0</v>
      </c>
    </row>
    <row r="52" spans="1:4" x14ac:dyDescent="0.25">
      <c r="A52" s="12">
        <v>200</v>
      </c>
      <c r="B52" s="13">
        <f>[1]!MF_p_choke_atma(A52,26,10,$C$8,0,$C$2,$C$17,1.1,$A$36,0)</f>
        <v>103.19781494140625</v>
      </c>
      <c r="C52" s="13">
        <f>[1]!MF_p_pipe_atma(B52,$C$17,$C$18,$C$4,$B$39,$C$2,A52,$C$13,0,$A$36,10,1)</f>
        <v>268.89925991263453</v>
      </c>
      <c r="D52" s="20">
        <f>[1]!IPR_pwf_atma($C$25,$C$9,A52,$C$13,$C$16)</f>
        <v>0</v>
      </c>
    </row>
    <row r="53" spans="1:4" x14ac:dyDescent="0.25">
      <c r="A53" s="1">
        <v>220</v>
      </c>
      <c r="B53" s="13">
        <f>[1]!MF_p_choke_atma(A53,26,10,$C$8,0,$C$2,$C$17,1.1,$A$36,0)</f>
        <v>112.53045654296875</v>
      </c>
      <c r="C53" s="13">
        <f>[1]!MF_p_pipe_atma(B53,$C$17,$C$18,$C$4,$B$39,$C$2,A53,$C$13,0,$A$36,10,1)</f>
        <v>282.2227959920055</v>
      </c>
      <c r="D53" s="20">
        <f>[1]!IPR_pwf_atma($C$25,$C$9,A53,$C$13,$C$16)</f>
        <v>0</v>
      </c>
    </row>
    <row r="54" spans="1:4" x14ac:dyDescent="0.25">
      <c r="A54" s="1">
        <v>240</v>
      </c>
      <c r="B54" s="13">
        <f>[1]!MF_p_choke_atma(A54,26,10,$C$8,0,$C$2,$C$17,1.1,$A$36,0)</f>
        <v>121.81072998046875</v>
      </c>
      <c r="C54" s="13">
        <f>[1]!MF_p_pipe_atma(B54,$C$17,$C$18,$C$4,$B$39,$C$2,A54,$C$13,0,$A$36,10,1)</f>
        <v>295.22753740914482</v>
      </c>
      <c r="D54" s="20">
        <f>[1]!IPR_pwf_atma($C$25,$C$9,A54,$C$13,$C$16)</f>
        <v>0</v>
      </c>
    </row>
    <row r="55" spans="1:4" x14ac:dyDescent="0.25">
      <c r="A55" s="1">
        <v>260</v>
      </c>
      <c r="B55" s="13">
        <f>[1]!MF_p_choke_atma(A55,26,10,$C$8,0,$C$2,$C$17,1.1,$A$36,0)</f>
        <v>131.06719970703125</v>
      </c>
      <c r="C55" s="13">
        <f>[1]!MF_p_pipe_atma(B55,$C$17,$C$18,$C$4,$B$39,$C$2,A55,$C$13,0,$A$36,10,1)</f>
        <v>307.98022891215857</v>
      </c>
      <c r="D55" s="20">
        <f>[1]!IPR_pwf_atma($C$25,$C$9,A55,$C$13,$C$16)</f>
        <v>0</v>
      </c>
    </row>
    <row r="56" spans="1:4" x14ac:dyDescent="0.25">
      <c r="A56" s="12">
        <v>280</v>
      </c>
      <c r="B56" s="13">
        <f>[1]!MF_p_choke_atma(A56,26,10,$C$8,0,$C$2,$C$17,1.1,$A$36,0)</f>
        <v>140.32684326171875</v>
      </c>
      <c r="C56" s="13">
        <f>[1]!MF_p_pipe_atma(B56,$C$17,$C$18,$C$4,$B$39,$C$2,A56,$C$13,0,$A$36,10,1)</f>
        <v>320.54589248107629</v>
      </c>
      <c r="D56" s="20">
        <f>[1]!IPR_pwf_atma($C$25,$C$9,A56,$C$13,$C$16)</f>
        <v>0</v>
      </c>
    </row>
    <row r="57" spans="1:4" x14ac:dyDescent="0.25">
      <c r="A57" s="1">
        <v>300</v>
      </c>
      <c r="B57" s="13">
        <f>[1]!MF_p_choke_atma(A57,26,10,$C$8,0,$C$2,$C$17,1.1,$A$36,0)</f>
        <v>149.61029052734375</v>
      </c>
      <c r="C57" s="13">
        <f>[1]!MF_p_pipe_atma(B57,$C$17,$C$18,$C$4,$B$39,$C$2,A57,$C$13,0,$A$36,10,1)</f>
        <v>332.97860220150727</v>
      </c>
      <c r="D57" s="20">
        <f>[1]!IPR_pwf_atma($C$25,$C$9,A57,$C$13,$C$16)</f>
        <v>0</v>
      </c>
    </row>
    <row r="58" spans="1:4" x14ac:dyDescent="0.25">
      <c r="A58" s="1">
        <v>320</v>
      </c>
      <c r="B58" s="13">
        <f>[1]!MF_p_choke_atma(A58,26,10,$C$8,0,$C$2,$C$17,1.1,$A$36,0)</f>
        <v>159.41424560546875</v>
      </c>
      <c r="C58" s="13">
        <f>[1]!MF_p_pipe_atma(B58,$C$17,$C$18,$C$4,$B$39,$C$2,A58,$C$13,0,$A$36,10,1)</f>
        <v>345.9197729624899</v>
      </c>
      <c r="D58" s="20">
        <f>[1]!IPR_pwf_atma($C$25,$C$9,A58,$C$13,$C$16)</f>
        <v>0</v>
      </c>
    </row>
    <row r="59" spans="1:4" x14ac:dyDescent="0.25">
      <c r="A59" s="1">
        <v>340</v>
      </c>
      <c r="B59" s="13">
        <f>[1]!MF_p_choke_atma(A59,26,10,$C$8,0,$C$2,$C$17,1.1,$A$36,0)</f>
        <v>169.57525634765625</v>
      </c>
      <c r="C59" s="13">
        <f>[1]!MF_p_pipe_atma(B59,$C$17,$C$18,$C$4,$B$39,$C$2,A59,$C$13,0,$A$36,10,1)</f>
        <v>359.16205757218893</v>
      </c>
      <c r="D59" s="20">
        <f>[1]!IPR_pwf_atma($C$25,$C$9,A59,$C$13,$C$16)</f>
        <v>0</v>
      </c>
    </row>
    <row r="60" spans="1:4" x14ac:dyDescent="0.25">
      <c r="A60" s="12">
        <v>360</v>
      </c>
      <c r="B60" s="13">
        <f>[1]!MF_p_choke_atma(A60,26,10,$C$8,0,$C$2,$C$17,1.1,$A$36,0)</f>
        <v>179.92828369140625</v>
      </c>
      <c r="C60" s="13">
        <f>[1]!MF_p_pipe_atma(B60,$C$17,$C$18,$C$4,$B$39,$C$2,A60,$C$13,0,$A$36,10,1)</f>
        <v>372.50851544270688</v>
      </c>
      <c r="D60" s="20">
        <f>[1]!IPR_pwf_atma($C$25,$C$9,A60,$C$13,$C$16)</f>
        <v>0</v>
      </c>
    </row>
    <row r="61" spans="1:4" x14ac:dyDescent="0.25">
      <c r="A61" s="1">
        <v>380</v>
      </c>
      <c r="B61" s="13">
        <f>[1]!MF_p_choke_atma(A61,26,10,$C$8,0,$C$2,$C$17,1.1,$A$36,0)</f>
        <v>190.49237060546875</v>
      </c>
      <c r="C61" s="13">
        <f>[1]!MF_p_pipe_atma(B61,$C$17,$C$18,$C$4,$B$39,$C$2,A61,$C$13,0,$A$36,10,1)</f>
        <v>385.99250946973666</v>
      </c>
      <c r="D61" s="20">
        <f>[1]!IPR_pwf_atma($C$25,$C$9,A61,$C$13,$C$16)</f>
        <v>0</v>
      </c>
    </row>
    <row r="62" spans="1:4" x14ac:dyDescent="0.25">
      <c r="A62" s="1">
        <v>400</v>
      </c>
      <c r="B62" s="13">
        <f>[1]!MF_p_choke_atma(A62,26,10,$C$8,0,$C$2,$C$17,1.1,$A$36,0)</f>
        <v>201.42462158203125</v>
      </c>
      <c r="C62" s="13">
        <f>[1]!MF_p_pipe_atma(B62,$C$17,$C$18,$C$4,$B$39,$C$2,A62,$C$13,0,$A$36,10,1)</f>
        <v>399.80571637364005</v>
      </c>
      <c r="D62" s="20">
        <f>[1]!IPR_pwf_atma($C$25,$C$9,A62,$C$13,$C$16)</f>
        <v>0</v>
      </c>
    </row>
    <row r="63" spans="1:4" x14ac:dyDescent="0.25">
      <c r="A63" s="1">
        <v>420</v>
      </c>
      <c r="B63" s="13">
        <f>[1]!MF_p_choke_atma(A63,26,10,$C$8,0,$C$2,$C$17,1.1,$A$36,0)</f>
        <v>213.44232177734375</v>
      </c>
      <c r="C63" s="13">
        <f>[1]!MF_p_pipe_atma(B63,$C$17,$C$18,$C$4,$B$39,$C$2,A63,$C$13,0,$A$36,10,1)</f>
        <v>414.77144890750793</v>
      </c>
      <c r="D63" s="20">
        <f>[1]!IPR_pwf_atma($C$25,$C$9,A63,$C$13,$C$16)</f>
        <v>0</v>
      </c>
    </row>
    <row r="64" spans="1:4" x14ac:dyDescent="0.25">
      <c r="A64" s="12">
        <v>440</v>
      </c>
      <c r="B64" s="13">
        <f>[1]!MF_p_choke_atma(A64,26,10,$C$8,0,$C$2,$C$17,1.1,$A$36,0)</f>
        <v>225.83929443359375</v>
      </c>
      <c r="C64" s="13">
        <f>[1]!MF_p_pipe_atma(B64,$C$17,$C$18,$C$4,$B$39,$C$2,A64,$C$13,0,$A$36,10,1)</f>
        <v>430.06577192462169</v>
      </c>
      <c r="D64" s="20">
        <f>[1]!IPR_pwf_atma($C$25,$C$9,A64,$C$13,$C$16)</f>
        <v>0</v>
      </c>
    </row>
    <row r="65" spans="1:13" x14ac:dyDescent="0.25">
      <c r="A65" s="1">
        <v>460</v>
      </c>
      <c r="B65" s="13">
        <f>[1]!MF_p_choke_atma(A65,26,10,$C$8,0,$C$2,$C$17,1.1,$A$36,0)</f>
        <v>238.63458251953125</v>
      </c>
      <c r="C65" s="13">
        <f>[1]!MF_p_pipe_atma(B65,$C$17,$C$18,$C$4,$B$39,$C$2,A65,$C$13,0,$A$36,10,1)</f>
        <v>445.71634341070381</v>
      </c>
      <c r="D65" s="20">
        <f>[1]!IPR_pwf_atma($C$25,$C$9,A65,$C$13,$C$16)</f>
        <v>0</v>
      </c>
      <c r="F65" s="47" t="s">
        <v>83</v>
      </c>
      <c r="G65" s="47"/>
    </row>
    <row r="66" spans="1:13" x14ac:dyDescent="0.25">
      <c r="A66" s="1">
        <v>480</v>
      </c>
      <c r="B66" s="13">
        <f>[1]!MF_p_choke_atma(A66,26,10,$C$8,0,$C$2,$C$17,1.1,$A$36,0)</f>
        <v>251.84088134765625</v>
      </c>
      <c r="C66" s="13">
        <f>[1]!MF_p_pipe_atma(B66,$C$17,$C$18,$C$4,$B$39,$C$2,A66,$C$13,0,$A$36,10,1)</f>
        <v>461.74280399922833</v>
      </c>
      <c r="D66" s="20">
        <f>[1]!IPR_pwf_atma($C$25,$C$9,A66,$C$13,$C$16)</f>
        <v>0</v>
      </c>
      <c r="F66" s="40" t="s">
        <v>84</v>
      </c>
      <c r="G66" s="41">
        <f>[1]!crv_intersection(A42:A67,C42:C67,A42:A67,D42:D67)</f>
        <v>53.157624385606056</v>
      </c>
    </row>
    <row r="67" spans="1:13" x14ac:dyDescent="0.25">
      <c r="A67" s="1">
        <v>500</v>
      </c>
      <c r="B67" s="13">
        <f>[1]!MF_p_choke_atma(A67,26,10,$C$8,0,$C$2,$C$17,1.1,$A$36,0)</f>
        <v>265.47088623046875</v>
      </c>
      <c r="C67" s="13">
        <f>[1]!MF_p_pipe_atma(B67,$C$17,$C$18,$C$4,$B$39,$C$2,A67,$C$13,0,$A$36,10,1)</f>
        <v>478.16417000816676</v>
      </c>
      <c r="D67" s="20">
        <f>[1]!IPR_pwf_atma($C$25,$C$9,A67,$C$13,$C$16)</f>
        <v>0</v>
      </c>
    </row>
    <row r="69" spans="1:13" x14ac:dyDescent="0.25">
      <c r="A69" s="39"/>
      <c r="B69" s="39"/>
    </row>
    <row r="70" spans="1:13" ht="15.75" customHeight="1" x14ac:dyDescent="0.3">
      <c r="A70" s="43" t="s">
        <v>82</v>
      </c>
      <c r="B70" s="38"/>
    </row>
    <row r="71" spans="1:13" x14ac:dyDescent="0.25">
      <c r="A71">
        <f t="array" ref="A71:M96">[1]!MF_p_pipe_atma($C$7,$C$17,$C$18,$C$4,$B$39,$C$2,$C$12,$C$13,0,$A$36,10,1)</f>
        <v>152.03689950182931</v>
      </c>
      <c r="B71" s="17">
        <v>110</v>
      </c>
      <c r="C71" s="3">
        <v>35</v>
      </c>
      <c r="D71">
        <v>20</v>
      </c>
      <c r="E71">
        <v>152.03689950182931</v>
      </c>
      <c r="F71">
        <v>110</v>
      </c>
      <c r="G71">
        <v>1</v>
      </c>
      <c r="H71">
        <v>1</v>
      </c>
      <c r="I71">
        <v>21525.934000000001</v>
      </c>
      <c r="J71" t="e">
        <v>#N/A</v>
      </c>
      <c r="K71" t="e">
        <v>#N/A</v>
      </c>
      <c r="L71" t="e">
        <v>#N/A</v>
      </c>
      <c r="M71" t="e">
        <v>#N/A</v>
      </c>
    </row>
    <row r="72" spans="1:13" x14ac:dyDescent="0.25">
      <c r="A72" s="16" t="str">
        <v>p_result_atma</v>
      </c>
      <c r="B72" s="17" t="str">
        <v>t_result_C</v>
      </c>
      <c r="C72" s="3" t="str">
        <v>p_1, atma</v>
      </c>
      <c r="D72" t="str">
        <v>t_1, C</v>
      </c>
      <c r="E72" t="str">
        <v>p_2, atma</v>
      </c>
      <c r="F72" t="str">
        <v>t_2, C</v>
      </c>
      <c r="G72" t="str">
        <v>c_calibr_grav</v>
      </c>
      <c r="H72" t="str">
        <v>c_calibr_fric</v>
      </c>
      <c r="I72" t="str">
        <v>q_gas_sm3day</v>
      </c>
      <c r="J72" t="e">
        <v>#N/A</v>
      </c>
      <c r="K72" t="e">
        <v>#N/A</v>
      </c>
      <c r="L72" t="e">
        <v>#N/A</v>
      </c>
      <c r="M72" t="e">
        <v>#N/A</v>
      </c>
    </row>
    <row r="73" spans="1:13" x14ac:dyDescent="0.25">
      <c r="A73" s="18" t="str">
        <v>num</v>
      </c>
      <c r="B73" s="17" t="str">
        <v>h,m</v>
      </c>
      <c r="C73" s="3" t="str">
        <v>hvert,m</v>
      </c>
      <c r="D73" t="str">
        <v>p,atma</v>
      </c>
      <c r="E73" t="str">
        <v>t,C</v>
      </c>
      <c r="F73" t="str">
        <v>Hl</v>
      </c>
      <c r="G73" s="44" t="str">
        <v>fpat</v>
      </c>
      <c r="H73" t="str">
        <v>t_amb, C</v>
      </c>
      <c r="I73" t="str">
        <v>diam, m</v>
      </c>
      <c r="J73" t="e">
        <v>#N/A</v>
      </c>
      <c r="K73" t="e">
        <v>#N/A</v>
      </c>
      <c r="L73" t="e">
        <v>#N/A</v>
      </c>
      <c r="M73" t="e">
        <v>#N/A</v>
      </c>
    </row>
    <row r="74" spans="1:13" x14ac:dyDescent="0.25">
      <c r="A74" s="16">
        <v>1</v>
      </c>
      <c r="B74" s="17">
        <v>0</v>
      </c>
      <c r="C74" s="3">
        <v>0</v>
      </c>
      <c r="D74">
        <v>35</v>
      </c>
      <c r="E74">
        <v>20</v>
      </c>
      <c r="F74">
        <v>0.27131046645768675</v>
      </c>
      <c r="G74" s="44">
        <v>103</v>
      </c>
      <c r="H74">
        <v>20</v>
      </c>
      <c r="I74">
        <v>7.5999999999999998E-2</v>
      </c>
      <c r="J74" t="e">
        <v>#N/A</v>
      </c>
      <c r="K74" t="e">
        <v>#N/A</v>
      </c>
      <c r="L74" t="e">
        <v>#N/A</v>
      </c>
      <c r="M74" t="e">
        <v>#N/A</v>
      </c>
    </row>
    <row r="75" spans="1:13" x14ac:dyDescent="0.25">
      <c r="A75" s="16">
        <v>2</v>
      </c>
      <c r="B75" s="45">
        <v>186.10526315789474</v>
      </c>
      <c r="C75" s="3">
        <v>185.21733138428738</v>
      </c>
      <c r="D75">
        <v>38.750161559515284</v>
      </c>
      <c r="E75">
        <v>24.736842105263158</v>
      </c>
      <c r="F75">
        <v>0.28516993435176696</v>
      </c>
      <c r="G75" s="44">
        <v>103</v>
      </c>
      <c r="H75">
        <v>24.736842105263158</v>
      </c>
      <c r="I75">
        <v>7.5999999999999998E-2</v>
      </c>
      <c r="J75" t="e">
        <v>#N/A</v>
      </c>
      <c r="K75" t="e">
        <v>#N/A</v>
      </c>
      <c r="L75" t="e">
        <v>#N/A</v>
      </c>
      <c r="M75" t="e">
        <v>#N/A</v>
      </c>
    </row>
    <row r="76" spans="1:13" x14ac:dyDescent="0.25">
      <c r="A76" s="16">
        <v>3</v>
      </c>
      <c r="B76" s="45">
        <v>372.21052631578948</v>
      </c>
      <c r="C76" s="3">
        <v>370.43466276857475</v>
      </c>
      <c r="D76">
        <v>42.736643716566718</v>
      </c>
      <c r="E76">
        <v>29.473684210526315</v>
      </c>
      <c r="F76">
        <v>0.2993513564611448</v>
      </c>
      <c r="G76" s="44">
        <v>103</v>
      </c>
      <c r="H76">
        <v>29.473684210526315</v>
      </c>
      <c r="I76">
        <v>7.5999999999999998E-2</v>
      </c>
      <c r="J76" t="e">
        <v>#N/A</v>
      </c>
      <c r="K76" t="e">
        <v>#N/A</v>
      </c>
      <c r="L76" t="e">
        <v>#N/A</v>
      </c>
      <c r="M76" t="e">
        <v>#N/A</v>
      </c>
    </row>
    <row r="77" spans="1:13" x14ac:dyDescent="0.25">
      <c r="A77" s="18">
        <v>4</v>
      </c>
      <c r="B77" s="45">
        <v>558.31578947368416</v>
      </c>
      <c r="C77" s="3">
        <v>555.65199415286202</v>
      </c>
      <c r="D77">
        <v>46.960740789240305</v>
      </c>
      <c r="E77">
        <v>34.210526315789473</v>
      </c>
      <c r="F77">
        <v>0.31378929196779881</v>
      </c>
      <c r="G77" s="44">
        <v>103</v>
      </c>
      <c r="H77">
        <v>34.210526315789473</v>
      </c>
      <c r="I77">
        <v>7.5999999999999998E-2</v>
      </c>
      <c r="J77" t="e">
        <v>#N/A</v>
      </c>
      <c r="K77" t="e">
        <v>#N/A</v>
      </c>
      <c r="L77" t="e">
        <v>#N/A</v>
      </c>
      <c r="M77" t="e">
        <v>#N/A</v>
      </c>
    </row>
    <row r="78" spans="1:13" x14ac:dyDescent="0.25">
      <c r="A78" s="16">
        <v>5</v>
      </c>
      <c r="B78" s="45">
        <v>744.42105263157896</v>
      </c>
      <c r="C78" s="3">
        <v>740.86932553714951</v>
      </c>
      <c r="D78">
        <v>51.42201503035956</v>
      </c>
      <c r="E78">
        <v>38.94736842105263</v>
      </c>
      <c r="F78">
        <v>0.32841142349253299</v>
      </c>
      <c r="G78" s="44">
        <v>103</v>
      </c>
      <c r="H78">
        <v>38.94736842105263</v>
      </c>
      <c r="I78">
        <v>7.5999999999999998E-2</v>
      </c>
      <c r="J78" t="e">
        <v>#N/A</v>
      </c>
      <c r="K78" t="e">
        <v>#N/A</v>
      </c>
      <c r="L78" t="e">
        <v>#N/A</v>
      </c>
      <c r="M78" t="e">
        <v>#N/A</v>
      </c>
    </row>
    <row r="79" spans="1:13" x14ac:dyDescent="0.25">
      <c r="A79" s="16">
        <v>6</v>
      </c>
      <c r="B79" s="45">
        <v>930.52631578947376</v>
      </c>
      <c r="C79" s="3">
        <v>926.08665692143688</v>
      </c>
      <c r="D79">
        <v>56.118347787252951</v>
      </c>
      <c r="E79">
        <v>43.684210526315788</v>
      </c>
      <c r="F79">
        <v>0.34314069634446781</v>
      </c>
      <c r="G79" s="44">
        <v>103</v>
      </c>
      <c r="H79">
        <v>43.684210526315788</v>
      </c>
      <c r="I79">
        <v>7.5999999999999998E-2</v>
      </c>
      <c r="J79" t="e">
        <v>#N/A</v>
      </c>
      <c r="K79" t="e">
        <v>#N/A</v>
      </c>
      <c r="L79" t="e">
        <v>#N/A</v>
      </c>
      <c r="M79" t="e">
        <v>#N/A</v>
      </c>
    </row>
    <row r="80" spans="1:13" x14ac:dyDescent="0.25">
      <c r="A80" s="16">
        <v>7</v>
      </c>
      <c r="B80" s="45">
        <v>1116.6315789473683</v>
      </c>
      <c r="C80" s="3">
        <v>1111.303988305724</v>
      </c>
      <c r="D80">
        <v>61.046006252020398</v>
      </c>
      <c r="E80">
        <v>48.421052631578945</v>
      </c>
      <c r="F80">
        <v>0.35789764548838071</v>
      </c>
      <c r="G80" s="44">
        <v>103</v>
      </c>
      <c r="H80">
        <v>48.421052631578945</v>
      </c>
      <c r="I80">
        <v>7.5999999999999998E-2</v>
      </c>
      <c r="J80" t="e">
        <v>#N/A</v>
      </c>
      <c r="K80" t="e">
        <v>#N/A</v>
      </c>
      <c r="L80" t="e">
        <v>#N/A</v>
      </c>
      <c r="M80" t="e">
        <v>#N/A</v>
      </c>
    </row>
    <row r="81" spans="1:13" x14ac:dyDescent="0.25">
      <c r="A81" s="18">
        <v>8</v>
      </c>
      <c r="B81" s="45">
        <v>1302.7368421052631</v>
      </c>
      <c r="C81" s="3">
        <v>1296.5213196900115</v>
      </c>
      <c r="D81">
        <v>66.199739345901946</v>
      </c>
      <c r="E81">
        <v>53.157894736842103</v>
      </c>
      <c r="F81">
        <v>0.37260284747690164</v>
      </c>
      <c r="G81" s="44">
        <v>103</v>
      </c>
      <c r="H81">
        <v>53.157894736842103</v>
      </c>
      <c r="I81">
        <v>7.5999999999999998E-2</v>
      </c>
      <c r="J81" t="e">
        <v>#N/A</v>
      </c>
      <c r="K81" t="e">
        <v>#N/A</v>
      </c>
      <c r="L81" t="e">
        <v>#N/A</v>
      </c>
      <c r="M81" t="e">
        <v>#N/A</v>
      </c>
    </row>
    <row r="82" spans="1:13" x14ac:dyDescent="0.25">
      <c r="A82" s="16">
        <v>9</v>
      </c>
      <c r="B82" s="45">
        <v>1488.8421052631579</v>
      </c>
      <c r="C82" s="3">
        <v>1481.7386510742988</v>
      </c>
      <c r="D82">
        <v>71.57973043567732</v>
      </c>
      <c r="E82">
        <v>57.89473684210526</v>
      </c>
      <c r="F82">
        <v>0.38717259998346365</v>
      </c>
      <c r="G82" s="44">
        <v>103</v>
      </c>
      <c r="H82">
        <v>57.89473684210526</v>
      </c>
      <c r="I82">
        <v>7.5999999999999998E-2</v>
      </c>
      <c r="J82" t="e">
        <v>#N/A</v>
      </c>
      <c r="K82" t="e">
        <v>#N/A</v>
      </c>
      <c r="L82" t="e">
        <v>#N/A</v>
      </c>
      <c r="M82" t="e">
        <v>#N/A</v>
      </c>
    </row>
    <row r="83" spans="1:13" x14ac:dyDescent="0.25">
      <c r="A83" s="16">
        <v>10</v>
      </c>
      <c r="B83" s="45">
        <v>1674.9473684210527</v>
      </c>
      <c r="C83" s="3">
        <v>1666.9559824585863</v>
      </c>
      <c r="D83">
        <v>77.257505863360535</v>
      </c>
      <c r="E83">
        <v>62.631578947368418</v>
      </c>
      <c r="F83">
        <v>0.4518561128411766</v>
      </c>
      <c r="G83" s="44">
        <v>103</v>
      </c>
      <c r="H83">
        <v>62.631578947368418</v>
      </c>
      <c r="I83">
        <v>7.5999999999999998E-2</v>
      </c>
      <c r="J83" t="e">
        <v>#N/A</v>
      </c>
      <c r="K83" t="e">
        <v>#N/A</v>
      </c>
      <c r="L83" t="e">
        <v>#N/A</v>
      </c>
      <c r="M83" t="e">
        <v>#N/A</v>
      </c>
    </row>
    <row r="84" spans="1:13" x14ac:dyDescent="0.25">
      <c r="A84" s="16">
        <v>11</v>
      </c>
      <c r="B84" s="45">
        <v>1861.0526315789475</v>
      </c>
      <c r="C84" s="3">
        <v>1852.1733138428738</v>
      </c>
      <c r="D84">
        <v>83.889295921445054</v>
      </c>
      <c r="E84">
        <v>67.368421052631575</v>
      </c>
      <c r="F84">
        <v>0.48429861754402664</v>
      </c>
      <c r="G84" s="44">
        <v>103</v>
      </c>
      <c r="H84">
        <v>67.368421052631575</v>
      </c>
      <c r="I84">
        <v>7.5999999999999998E-2</v>
      </c>
      <c r="J84" t="e">
        <v>#N/A</v>
      </c>
      <c r="K84" t="e">
        <v>#N/A</v>
      </c>
      <c r="L84" t="e">
        <v>#N/A</v>
      </c>
      <c r="M84" t="e">
        <v>#N/A</v>
      </c>
    </row>
    <row r="85" spans="1:13" x14ac:dyDescent="0.25">
      <c r="A85" s="18">
        <v>12</v>
      </c>
      <c r="B85" s="45">
        <v>2047.1578947368421</v>
      </c>
      <c r="C85" s="3">
        <v>2037.3906452271608</v>
      </c>
      <c r="D85">
        <v>90.828419967190953</v>
      </c>
      <c r="E85">
        <v>72.10526315789474</v>
      </c>
      <c r="F85">
        <v>0.4995653788035983</v>
      </c>
      <c r="G85" s="44">
        <v>103</v>
      </c>
      <c r="H85">
        <v>72.10526315789474</v>
      </c>
      <c r="I85">
        <v>7.5999999999999998E-2</v>
      </c>
      <c r="J85" t="e">
        <v>#N/A</v>
      </c>
      <c r="K85" t="e">
        <v>#N/A</v>
      </c>
      <c r="L85" t="e">
        <v>#N/A</v>
      </c>
      <c r="M85" t="e">
        <v>#N/A</v>
      </c>
    </row>
    <row r="86" spans="1:13" x14ac:dyDescent="0.25">
      <c r="A86" s="16">
        <v>13</v>
      </c>
      <c r="B86" s="45">
        <v>2233.2631578947367</v>
      </c>
      <c r="C86" s="3">
        <v>2222.6079766114481</v>
      </c>
      <c r="D86">
        <v>97.962918847349812</v>
      </c>
      <c r="E86">
        <v>76.84210526315789</v>
      </c>
      <c r="F86">
        <v>0.51416608277889342</v>
      </c>
      <c r="G86" s="44">
        <v>103</v>
      </c>
      <c r="H86">
        <v>76.84210526315789</v>
      </c>
      <c r="I86">
        <v>7.5999999999999998E-2</v>
      </c>
      <c r="J86" t="e">
        <v>#N/A</v>
      </c>
      <c r="K86" t="e">
        <v>#N/A</v>
      </c>
      <c r="L86" t="e">
        <v>#N/A</v>
      </c>
      <c r="M86" t="e">
        <v>#N/A</v>
      </c>
    </row>
    <row r="87" spans="1:13" x14ac:dyDescent="0.25">
      <c r="A87" s="16">
        <v>14</v>
      </c>
      <c r="B87" s="45">
        <v>2419.3684210526317</v>
      </c>
      <c r="C87" s="3">
        <v>2407.8253079957358</v>
      </c>
      <c r="D87">
        <v>105.27575332514319</v>
      </c>
      <c r="E87">
        <v>81.578947368421055</v>
      </c>
      <c r="F87">
        <v>0.52807459719403516</v>
      </c>
      <c r="G87" s="44">
        <v>103</v>
      </c>
      <c r="H87">
        <v>81.578947368421055</v>
      </c>
      <c r="I87">
        <v>7.5999999999999998E-2</v>
      </c>
      <c r="J87" t="e">
        <v>#N/A</v>
      </c>
      <c r="K87" t="e">
        <v>#N/A</v>
      </c>
      <c r="L87" t="e">
        <v>#N/A</v>
      </c>
      <c r="M87" t="e">
        <v>#N/A</v>
      </c>
    </row>
    <row r="88" spans="1:13" x14ac:dyDescent="0.25">
      <c r="A88" s="16">
        <v>15</v>
      </c>
      <c r="B88" s="45">
        <v>2605.4736842105262</v>
      </c>
      <c r="C88" s="3">
        <v>2593.042639380023</v>
      </c>
      <c r="D88">
        <v>112.75034744618998</v>
      </c>
      <c r="E88">
        <v>86.315789473684205</v>
      </c>
      <c r="F88">
        <v>0.54128048925683492</v>
      </c>
      <c r="G88" s="44">
        <v>103</v>
      </c>
      <c r="H88">
        <v>86.315789473684205</v>
      </c>
      <c r="I88">
        <v>7.5999999999999998E-2</v>
      </c>
      <c r="J88" t="e">
        <v>#N/A</v>
      </c>
      <c r="K88" t="e">
        <v>#N/A</v>
      </c>
      <c r="L88" t="e">
        <v>#N/A</v>
      </c>
      <c r="M88" t="e">
        <v>#N/A</v>
      </c>
    </row>
    <row r="89" spans="1:13" x14ac:dyDescent="0.25">
      <c r="A89" s="18">
        <v>16</v>
      </c>
      <c r="B89" s="45">
        <v>2791.5789473684213</v>
      </c>
      <c r="C89" s="3">
        <v>2778.2599707643108</v>
      </c>
      <c r="D89">
        <v>120.37397886332515</v>
      </c>
      <c r="E89">
        <v>91.05263157894737</v>
      </c>
      <c r="F89">
        <v>0.55376973859338618</v>
      </c>
      <c r="G89" s="44">
        <v>103</v>
      </c>
      <c r="H89">
        <v>91.05263157894737</v>
      </c>
      <c r="I89">
        <v>7.5999999999999998E-2</v>
      </c>
      <c r="J89" t="e">
        <v>#N/A</v>
      </c>
      <c r="K89" t="e">
        <v>#N/A</v>
      </c>
      <c r="L89" t="e">
        <v>#N/A</v>
      </c>
      <c r="M89" t="e">
        <v>#N/A</v>
      </c>
    </row>
    <row r="90" spans="1:13" x14ac:dyDescent="0.25">
      <c r="A90" s="16">
        <v>17</v>
      </c>
      <c r="B90" s="45">
        <v>2977.6842105263158</v>
      </c>
      <c r="C90" s="3">
        <v>2963.4773021485976</v>
      </c>
      <c r="D90">
        <v>128.12952700032903</v>
      </c>
      <c r="E90">
        <v>95.78947368421052</v>
      </c>
      <c r="F90">
        <v>0.56556296357615043</v>
      </c>
      <c r="G90" s="44">
        <v>103</v>
      </c>
      <c r="H90">
        <v>95.78947368421052</v>
      </c>
      <c r="I90">
        <v>7.5999999999999998E-2</v>
      </c>
      <c r="J90" t="e">
        <v>#N/A</v>
      </c>
      <c r="K90" t="e">
        <v>#N/A</v>
      </c>
      <c r="L90" t="e">
        <v>#N/A</v>
      </c>
      <c r="M90" t="e">
        <v>#N/A</v>
      </c>
    </row>
    <row r="91" spans="1:13" x14ac:dyDescent="0.25">
      <c r="A91" s="16">
        <v>18</v>
      </c>
      <c r="B91" s="45">
        <v>3163.7894736842104</v>
      </c>
      <c r="C91" s="3">
        <v>3148.6946335328853</v>
      </c>
      <c r="D91">
        <v>136.0007462146653</v>
      </c>
      <c r="E91">
        <v>100.52631578947368</v>
      </c>
      <c r="F91">
        <v>0.57669308754289894</v>
      </c>
      <c r="G91" s="44">
        <v>103</v>
      </c>
      <c r="H91">
        <v>100.52631578947368</v>
      </c>
      <c r="I91">
        <v>7.5999999999999998E-2</v>
      </c>
      <c r="J91" t="e">
        <v>#N/A</v>
      </c>
      <c r="K91" t="e">
        <v>#N/A</v>
      </c>
      <c r="L91" t="e">
        <v>#N/A</v>
      </c>
      <c r="M91" t="e">
        <v>#N/A</v>
      </c>
    </row>
    <row r="92" spans="1:13" x14ac:dyDescent="0.25">
      <c r="A92" s="16">
        <v>19</v>
      </c>
      <c r="B92" s="45">
        <v>3349.8947368421054</v>
      </c>
      <c r="C92" s="3">
        <v>3333.9119649171726</v>
      </c>
      <c r="D92">
        <v>143.97471930106863</v>
      </c>
      <c r="E92">
        <v>105.26315789473685</v>
      </c>
      <c r="F92">
        <v>0.58718697734988612</v>
      </c>
      <c r="G92" s="44">
        <v>103</v>
      </c>
      <c r="H92">
        <v>105.26315789473685</v>
      </c>
      <c r="I92">
        <v>7.5999999999999998E-2</v>
      </c>
      <c r="J92" t="e">
        <v>#N/A</v>
      </c>
      <c r="K92" t="e">
        <v>#N/A</v>
      </c>
      <c r="L92" t="e">
        <v>#N/A</v>
      </c>
      <c r="M92" t="e">
        <v>#N/A</v>
      </c>
    </row>
    <row r="93" spans="1:13" x14ac:dyDescent="0.25">
      <c r="A93" s="18">
        <v>20</v>
      </c>
      <c r="B93" s="45">
        <v>3536</v>
      </c>
      <c r="C93" s="3">
        <v>3519.1292963014598</v>
      </c>
      <c r="D93">
        <v>152.03689950182931</v>
      </c>
      <c r="E93">
        <v>110</v>
      </c>
      <c r="F93">
        <v>0.59709382931220856</v>
      </c>
      <c r="G93" s="44">
        <v>103</v>
      </c>
      <c r="H93">
        <v>110</v>
      </c>
      <c r="I93">
        <v>7.5999999999999998E-2</v>
      </c>
      <c r="J93" t="e">
        <v>#N/A</v>
      </c>
      <c r="K93" t="e">
        <v>#N/A</v>
      </c>
      <c r="L93" t="e">
        <v>#N/A</v>
      </c>
      <c r="M93" t="e">
        <v>#N/A</v>
      </c>
    </row>
    <row r="94" spans="1:13" x14ac:dyDescent="0.25">
      <c r="A94" s="16" t="e">
        <v>#N/A</v>
      </c>
      <c r="B94" s="17" t="e">
        <v>#N/A</v>
      </c>
      <c r="C94" s="3" t="e">
        <v>#N/A</v>
      </c>
      <c r="D94" t="e">
        <v>#N/A</v>
      </c>
      <c r="E94" t="e">
        <v>#N/A</v>
      </c>
      <c r="F94" t="e">
        <v>#N/A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e">
        <v>#N/A</v>
      </c>
      <c r="M94" t="e">
        <v>#N/A</v>
      </c>
    </row>
    <row r="95" spans="1:13" x14ac:dyDescent="0.25">
      <c r="A95" s="16" t="e">
        <v>#N/A</v>
      </c>
      <c r="B95" s="17" t="e">
        <v>#N/A</v>
      </c>
      <c r="C95" s="3" t="e">
        <v>#N/A</v>
      </c>
      <c r="D95" t="e">
        <v>#N/A</v>
      </c>
      <c r="E95" t="e">
        <v>#N/A</v>
      </c>
      <c r="F95" t="e">
        <v>#N/A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  <c r="L95" t="e">
        <v>#N/A</v>
      </c>
      <c r="M95" t="e">
        <v>#N/A</v>
      </c>
    </row>
    <row r="96" spans="1:13" x14ac:dyDescent="0.25">
      <c r="A96" s="16" t="e">
        <v>#N/A</v>
      </c>
      <c r="B96" s="17" t="e">
        <v>#N/A</v>
      </c>
      <c r="C96" s="3" t="e">
        <v>#N/A</v>
      </c>
      <c r="D96" t="e">
        <v>#N/A</v>
      </c>
      <c r="E96" t="e">
        <v>#N/A</v>
      </c>
      <c r="F96" t="e">
        <v>#N/A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t="e">
        <v>#N/A</v>
      </c>
      <c r="M96" t="e">
        <v>#N/A</v>
      </c>
    </row>
  </sheetData>
  <mergeCells count="10">
    <mergeCell ref="A40:D40"/>
    <mergeCell ref="F65:G65"/>
    <mergeCell ref="F1:G1"/>
    <mergeCell ref="L32:L33"/>
    <mergeCell ref="A32:A33"/>
    <mergeCell ref="B32:D32"/>
    <mergeCell ref="E32:G32"/>
    <mergeCell ref="H32:H33"/>
    <mergeCell ref="K32:K33"/>
    <mergeCell ref="I32:J32"/>
  </mergeCells>
  <pageMargins left="0.7" right="0.7" top="0.75" bottom="0.75" header="0.3" footer="0.3"/>
  <pageSetup paperSize="9" orientation="portrait" horizontalDpi="0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 Строкин</dc:creator>
  <cp:lastModifiedBy>Виктор Строкин</cp:lastModifiedBy>
  <dcterms:created xsi:type="dcterms:W3CDTF">2021-02-20T08:25:35Z</dcterms:created>
  <dcterms:modified xsi:type="dcterms:W3CDTF">2021-02-21T11:23:12Z</dcterms:modified>
</cp:coreProperties>
</file>