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720" yWindow="135" windowWidth="27480" windowHeight="12600" activeTab="3"/>
  </bookViews>
  <sheets>
    <sheet name="Ведомость электропотребителей" sheetId="1" r:id="rId1"/>
    <sheet name="Расчет электрических нагрузок" sheetId="2" r:id="rId2"/>
    <sheet name="Расчет освещения" sheetId="3" r:id="rId3"/>
    <sheet name="Выбор защиты" sheetId="4" r:id="rId4"/>
    <sheet name="КЗ" sheetId="5" r:id="rId5"/>
    <sheet name="Чтение по жипегу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3" i="1"/>
  <c r="E4" i="1"/>
  <c r="E5" i="1"/>
  <c r="E6" i="1"/>
  <c r="E7" i="1"/>
  <c r="J13" i="1" l="1"/>
  <c r="P26" i="2"/>
  <c r="C13" i="5" l="1"/>
  <c r="C14" i="5"/>
  <c r="C15" i="5"/>
  <c r="E40" i="2"/>
  <c r="D7" i="5" l="1"/>
  <c r="C7" i="5"/>
  <c r="K22" i="4"/>
  <c r="B7" i="5" l="1"/>
  <c r="M13" i="2" l="1"/>
  <c r="M23" i="2"/>
  <c r="M26" i="2"/>
  <c r="M29" i="2"/>
  <c r="M32" i="2"/>
  <c r="N28" i="4" l="1"/>
  <c r="N25" i="4"/>
  <c r="N26" i="4"/>
  <c r="N24" i="4"/>
  <c r="N15" i="4"/>
  <c r="N16" i="4"/>
  <c r="N17" i="4"/>
  <c r="N18" i="4"/>
  <c r="N19" i="4"/>
  <c r="N20" i="4"/>
  <c r="N21" i="4"/>
  <c r="N22" i="4"/>
  <c r="N14" i="4"/>
  <c r="N4" i="4"/>
  <c r="N5" i="4"/>
  <c r="N6" i="4"/>
  <c r="N7" i="4"/>
  <c r="N8" i="4"/>
  <c r="N9" i="4"/>
  <c r="N10" i="4"/>
  <c r="N11" i="4"/>
  <c r="N12" i="4"/>
  <c r="N3" i="4"/>
  <c r="J28" i="4"/>
  <c r="J26" i="4"/>
  <c r="J15" i="4"/>
  <c r="J16" i="4"/>
  <c r="J17" i="4"/>
  <c r="J18" i="4"/>
  <c r="J19" i="4"/>
  <c r="J20" i="4"/>
  <c r="J21" i="4"/>
  <c r="J22" i="4"/>
  <c r="J14" i="4"/>
  <c r="J4" i="4"/>
  <c r="J5" i="4"/>
  <c r="J6" i="4"/>
  <c r="J7" i="4"/>
  <c r="J8" i="4"/>
  <c r="J9" i="4"/>
  <c r="J10" i="4"/>
  <c r="J11" i="4"/>
  <c r="J12" i="4"/>
  <c r="J3" i="4"/>
  <c r="H28" i="4" l="1"/>
  <c r="H22" i="4"/>
  <c r="H6" i="4"/>
  <c r="H5" i="4"/>
  <c r="H4" i="4"/>
  <c r="H3" i="4"/>
  <c r="H16" i="4"/>
  <c r="H17" i="4"/>
  <c r="H26" i="4"/>
  <c r="H21" i="4" l="1"/>
  <c r="H20" i="4"/>
  <c r="H19" i="4"/>
  <c r="H18" i="4"/>
  <c r="H15" i="4"/>
  <c r="H14" i="4"/>
  <c r="H12" i="4" l="1"/>
  <c r="H11" i="4"/>
  <c r="H10" i="4"/>
  <c r="H9" i="4"/>
  <c r="H8" i="4"/>
  <c r="H7" i="4"/>
  <c r="B3" i="5" l="1"/>
  <c r="K3" i="5" s="1"/>
  <c r="J7" i="5"/>
  <c r="C6" i="5"/>
  <c r="I5" i="5"/>
  <c r="I6" i="5"/>
  <c r="I4" i="5"/>
  <c r="B14" i="5"/>
  <c r="B15" i="5"/>
  <c r="B13" i="5"/>
  <c r="C12" i="5"/>
  <c r="B12" i="5" s="1"/>
  <c r="C11" i="5"/>
  <c r="B11" i="5" s="1"/>
  <c r="C10" i="5"/>
  <c r="B10" i="5" s="1"/>
  <c r="C9" i="5"/>
  <c r="B9" i="5" s="1"/>
  <c r="C8" i="5"/>
  <c r="B8" i="5" s="1"/>
  <c r="D6" i="5"/>
  <c r="B6" i="5" s="1"/>
  <c r="C4" i="5"/>
  <c r="C5" i="5" s="1"/>
  <c r="D4" i="5"/>
  <c r="D5" i="5" s="1"/>
  <c r="B5" i="5" l="1"/>
  <c r="B4" i="5"/>
  <c r="E7" i="5" s="1"/>
  <c r="F4" i="5" l="1"/>
  <c r="E6" i="5"/>
  <c r="E4" i="5"/>
  <c r="F5" i="5"/>
  <c r="F15" i="5"/>
  <c r="F11" i="5"/>
  <c r="F7" i="5"/>
  <c r="E14" i="5"/>
  <c r="F10" i="5"/>
  <c r="E10" i="5"/>
  <c r="F9" i="5"/>
  <c r="E9" i="5"/>
  <c r="F8" i="5"/>
  <c r="E8" i="5"/>
  <c r="F14" i="5"/>
  <c r="E11" i="5"/>
  <c r="F13" i="5"/>
  <c r="E13" i="5"/>
  <c r="E12" i="5"/>
  <c r="E15" i="5"/>
  <c r="F12" i="5"/>
  <c r="E5" i="5"/>
  <c r="F6" i="5"/>
  <c r="F25" i="4" l="1"/>
  <c r="F24" i="4"/>
  <c r="J24" i="4" l="1"/>
  <c r="H24" i="4"/>
  <c r="J25" i="4"/>
  <c r="H25" i="4"/>
  <c r="G39" i="2"/>
  <c r="F39" i="2"/>
  <c r="H36" i="2"/>
  <c r="H37" i="2"/>
  <c r="H38" i="2"/>
  <c r="H35" i="2"/>
  <c r="H39" i="2" s="1"/>
  <c r="C38" i="2"/>
  <c r="E38" i="2" s="1"/>
  <c r="I38" i="2" s="1"/>
  <c r="E37" i="2"/>
  <c r="I37" i="2" s="1"/>
  <c r="C35" i="2"/>
  <c r="C36" i="2"/>
  <c r="E36" i="2" s="1"/>
  <c r="I36" i="2" s="1"/>
  <c r="J36" i="2" l="1"/>
  <c r="J37" i="2"/>
  <c r="C39" i="2"/>
  <c r="J38" i="2"/>
  <c r="E35" i="2"/>
  <c r="H32" i="2"/>
  <c r="H31" i="2"/>
  <c r="H29" i="2"/>
  <c r="H28" i="2"/>
  <c r="H26" i="2"/>
  <c r="H25" i="2"/>
  <c r="H16" i="2"/>
  <c r="H17" i="2"/>
  <c r="H18" i="2"/>
  <c r="H19" i="2"/>
  <c r="H20" i="2"/>
  <c r="H21" i="2"/>
  <c r="H22" i="2"/>
  <c r="H15" i="2"/>
  <c r="F32" i="2"/>
  <c r="F26" i="2"/>
  <c r="F29" i="2"/>
  <c r="C32" i="2"/>
  <c r="C29" i="2"/>
  <c r="C26" i="2"/>
  <c r="C23" i="2"/>
  <c r="C13" i="2"/>
  <c r="D31" i="2"/>
  <c r="D32" i="2" s="1"/>
  <c r="D28" i="2"/>
  <c r="K28" i="2" s="1"/>
  <c r="K29" i="2" s="1"/>
  <c r="D25" i="2"/>
  <c r="K25" i="2" s="1"/>
  <c r="K26" i="2" s="1"/>
  <c r="G23" i="2"/>
  <c r="H23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5" i="2"/>
  <c r="H5" i="2" s="1"/>
  <c r="G4" i="2"/>
  <c r="H4" i="2" s="1"/>
  <c r="F22" i="2"/>
  <c r="F21" i="2"/>
  <c r="F20" i="2"/>
  <c r="F19" i="2"/>
  <c r="F18" i="2"/>
  <c r="F17" i="2"/>
  <c r="F16" i="2"/>
  <c r="F15" i="2"/>
  <c r="C33" i="2" l="1"/>
  <c r="C40" i="2" s="1"/>
  <c r="D26" i="2"/>
  <c r="G33" i="2"/>
  <c r="F23" i="2"/>
  <c r="E39" i="2"/>
  <c r="I35" i="2"/>
  <c r="H33" i="2"/>
  <c r="E25" i="2"/>
  <c r="G13" i="2"/>
  <c r="H13" i="2" s="1"/>
  <c r="E31" i="2"/>
  <c r="D29" i="2"/>
  <c r="E28" i="2"/>
  <c r="F12" i="2"/>
  <c r="F7" i="2"/>
  <c r="F8" i="2"/>
  <c r="F9" i="2"/>
  <c r="F10" i="2"/>
  <c r="F11" i="2"/>
  <c r="F6" i="2"/>
  <c r="F5" i="2"/>
  <c r="F4" i="2"/>
  <c r="D15" i="2"/>
  <c r="D8" i="2"/>
  <c r="D22" i="2"/>
  <c r="D21" i="2"/>
  <c r="D20" i="2"/>
  <c r="D19" i="2"/>
  <c r="D18" i="2"/>
  <c r="D17" i="2"/>
  <c r="D16" i="2"/>
  <c r="D12" i="2"/>
  <c r="D11" i="2"/>
  <c r="D10" i="2"/>
  <c r="D9" i="2"/>
  <c r="D7" i="2"/>
  <c r="D6" i="2"/>
  <c r="D5" i="2"/>
  <c r="D4" i="2"/>
  <c r="K4" i="2" s="1"/>
  <c r="J35" i="2" l="1"/>
  <c r="I39" i="2"/>
  <c r="F33" i="2"/>
  <c r="E7" i="2"/>
  <c r="I7" i="2" s="1"/>
  <c r="J7" i="2" s="1"/>
  <c r="K7" i="2"/>
  <c r="E20" i="2"/>
  <c r="I20" i="2" s="1"/>
  <c r="J20" i="2" s="1"/>
  <c r="K20" i="2"/>
  <c r="E22" i="2"/>
  <c r="I22" i="2" s="1"/>
  <c r="J22" i="2" s="1"/>
  <c r="K22" i="2"/>
  <c r="E8" i="2"/>
  <c r="I8" i="2" s="1"/>
  <c r="J8" i="2" s="1"/>
  <c r="K8" i="2"/>
  <c r="I25" i="2"/>
  <c r="J25" i="2" s="1"/>
  <c r="E26" i="2"/>
  <c r="I28" i="2"/>
  <c r="J28" i="2" s="1"/>
  <c r="E29" i="2"/>
  <c r="I31" i="2"/>
  <c r="J31" i="2" s="1"/>
  <c r="K31" i="2"/>
  <c r="K32" i="2" s="1"/>
  <c r="E32" i="2"/>
  <c r="E10" i="2"/>
  <c r="I10" i="2" s="1"/>
  <c r="J10" i="2" s="1"/>
  <c r="K10" i="2"/>
  <c r="E21" i="2"/>
  <c r="I21" i="2" s="1"/>
  <c r="J21" i="2" s="1"/>
  <c r="K21" i="2"/>
  <c r="E11" i="2"/>
  <c r="I11" i="2" s="1"/>
  <c r="J11" i="2" s="1"/>
  <c r="K11" i="2"/>
  <c r="E16" i="2"/>
  <c r="I16" i="2" s="1"/>
  <c r="J16" i="2" s="1"/>
  <c r="K16" i="2"/>
  <c r="E15" i="2"/>
  <c r="K15" i="2"/>
  <c r="E6" i="2"/>
  <c r="I6" i="2" s="1"/>
  <c r="J6" i="2" s="1"/>
  <c r="K6" i="2"/>
  <c r="E18" i="2"/>
  <c r="I18" i="2" s="1"/>
  <c r="J18" i="2" s="1"/>
  <c r="K18" i="2"/>
  <c r="E19" i="2"/>
  <c r="I19" i="2" s="1"/>
  <c r="J19" i="2" s="1"/>
  <c r="K19" i="2"/>
  <c r="E9" i="2"/>
  <c r="I9" i="2" s="1"/>
  <c r="J9" i="2" s="1"/>
  <c r="K9" i="2"/>
  <c r="E12" i="2"/>
  <c r="I12" i="2" s="1"/>
  <c r="J12" i="2" s="1"/>
  <c r="K12" i="2"/>
  <c r="E5" i="2"/>
  <c r="I5" i="2" s="1"/>
  <c r="J5" i="2" s="1"/>
  <c r="K5" i="2"/>
  <c r="E17" i="2"/>
  <c r="I17" i="2" s="1"/>
  <c r="J17" i="2" s="1"/>
  <c r="K17" i="2"/>
  <c r="F13" i="2"/>
  <c r="D13" i="2"/>
  <c r="D23" i="2" s="1"/>
  <c r="D33" i="2" s="1"/>
  <c r="E4" i="2"/>
  <c r="K9" i="1"/>
  <c r="K13" i="2" l="1"/>
  <c r="J9" i="1"/>
  <c r="D9" i="4" s="1"/>
  <c r="G9" i="4" s="1"/>
  <c r="C9" i="4"/>
  <c r="E9" i="4" s="1"/>
  <c r="J39" i="2"/>
  <c r="O39" i="2" s="1"/>
  <c r="N39" i="2"/>
  <c r="I29" i="2"/>
  <c r="I32" i="2"/>
  <c r="K23" i="2"/>
  <c r="K33" i="2" s="1"/>
  <c r="I26" i="2"/>
  <c r="I15" i="2"/>
  <c r="J15" i="2" s="1"/>
  <c r="E23" i="2"/>
  <c r="I4" i="2"/>
  <c r="J4" i="2" s="1"/>
  <c r="E13" i="2"/>
  <c r="K6" i="1"/>
  <c r="K7" i="1"/>
  <c r="K8" i="1"/>
  <c r="K10" i="1"/>
  <c r="K11" i="1"/>
  <c r="K12" i="1"/>
  <c r="K13" i="1"/>
  <c r="K14" i="1"/>
  <c r="K15" i="1"/>
  <c r="K16" i="1"/>
  <c r="K17" i="1"/>
  <c r="K18" i="1"/>
  <c r="K19" i="1"/>
  <c r="K20" i="1"/>
  <c r="K21" i="1"/>
  <c r="K4" i="1"/>
  <c r="K5" i="1"/>
  <c r="J5" i="1" s="1"/>
  <c r="K3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3" i="1" l="1"/>
  <c r="D3" i="4" s="1"/>
  <c r="G3" i="4" s="1"/>
  <c r="C3" i="4"/>
  <c r="J8" i="1"/>
  <c r="D8" i="4" s="1"/>
  <c r="G8" i="4" s="1"/>
  <c r="C8" i="4"/>
  <c r="E8" i="4" s="1"/>
  <c r="J7" i="1"/>
  <c r="C6" i="4"/>
  <c r="E6" i="4" s="1"/>
  <c r="C14" i="4"/>
  <c r="J10" i="1"/>
  <c r="D10" i="4" s="1"/>
  <c r="G10" i="4" s="1"/>
  <c r="C10" i="4"/>
  <c r="E10" i="4" s="1"/>
  <c r="J4" i="1"/>
  <c r="D4" i="4" s="1"/>
  <c r="G4" i="4" s="1"/>
  <c r="C4" i="4"/>
  <c r="E4" i="4" s="1"/>
  <c r="J16" i="1"/>
  <c r="D17" i="4" s="1"/>
  <c r="G17" i="4" s="1"/>
  <c r="C17" i="4"/>
  <c r="E17" i="4" s="1"/>
  <c r="J15" i="1"/>
  <c r="D26" i="4" s="1"/>
  <c r="G26" i="4" s="1"/>
  <c r="C26" i="4"/>
  <c r="E26" i="4" s="1"/>
  <c r="J6" i="1"/>
  <c r="D5" i="4" s="1"/>
  <c r="G5" i="4" s="1"/>
  <c r="C5" i="4"/>
  <c r="E5" i="4" s="1"/>
  <c r="J12" i="1"/>
  <c r="D15" i="4" s="1"/>
  <c r="G15" i="4" s="1"/>
  <c r="C15" i="4"/>
  <c r="E15" i="4" s="1"/>
  <c r="D25" i="4"/>
  <c r="G25" i="4" s="1"/>
  <c r="C25" i="4"/>
  <c r="E25" i="4" s="1"/>
  <c r="J20" i="1"/>
  <c r="D21" i="4" s="1"/>
  <c r="G21" i="4" s="1"/>
  <c r="C21" i="4"/>
  <c r="E21" i="4" s="1"/>
  <c r="J21" i="1"/>
  <c r="D11" i="4" s="1"/>
  <c r="G11" i="4" s="1"/>
  <c r="C11" i="4"/>
  <c r="E11" i="4" s="1"/>
  <c r="J11" i="1"/>
  <c r="D7" i="4" s="1"/>
  <c r="G7" i="4" s="1"/>
  <c r="C7" i="4"/>
  <c r="E7" i="4" s="1"/>
  <c r="J19" i="1"/>
  <c r="D20" i="4" s="1"/>
  <c r="G20" i="4" s="1"/>
  <c r="C20" i="4"/>
  <c r="E20" i="4" s="1"/>
  <c r="J14" i="1"/>
  <c r="D16" i="4" s="1"/>
  <c r="G16" i="4" s="1"/>
  <c r="C16" i="4"/>
  <c r="E16" i="4" s="1"/>
  <c r="J18" i="1"/>
  <c r="D19" i="4" s="1"/>
  <c r="G19" i="4" s="1"/>
  <c r="C19" i="4"/>
  <c r="E19" i="4" s="1"/>
  <c r="J2" i="1"/>
  <c r="D24" i="4" s="1"/>
  <c r="G24" i="4" s="1"/>
  <c r="C24" i="4"/>
  <c r="J17" i="1"/>
  <c r="D18" i="4" s="1"/>
  <c r="G18" i="4" s="1"/>
  <c r="C18" i="4"/>
  <c r="E18" i="4" s="1"/>
  <c r="P39" i="2"/>
  <c r="Q39" i="2" s="1"/>
  <c r="N26" i="2"/>
  <c r="J26" i="2"/>
  <c r="O26" i="2" s="1"/>
  <c r="Q26" i="2" s="1"/>
  <c r="I13" i="2"/>
  <c r="E33" i="2"/>
  <c r="N32" i="2"/>
  <c r="J32" i="2"/>
  <c r="O32" i="2" s="1"/>
  <c r="I23" i="2"/>
  <c r="N29" i="2"/>
  <c r="J29" i="2"/>
  <c r="O29" i="2" s="1"/>
  <c r="P29" i="2" s="1"/>
  <c r="Q29" i="2" s="1"/>
  <c r="H40" i="2" l="1"/>
  <c r="G40" i="2"/>
  <c r="E14" i="4"/>
  <c r="D14" i="4"/>
  <c r="G14" i="4" s="1"/>
  <c r="D6" i="4"/>
  <c r="G6" i="4" s="1"/>
  <c r="E3" i="4"/>
  <c r="E24" i="4"/>
  <c r="P32" i="2"/>
  <c r="Q32" i="2" s="1"/>
  <c r="L33" i="2"/>
  <c r="I33" i="2"/>
  <c r="I40" i="2" s="1"/>
  <c r="J40" i="2" s="1"/>
  <c r="R13" i="2"/>
  <c r="N13" i="2"/>
  <c r="J13" i="2"/>
  <c r="O13" i="2" s="1"/>
  <c r="N23" i="2"/>
  <c r="R23" i="2"/>
  <c r="J23" i="2"/>
  <c r="O23" i="2" s="1"/>
  <c r="D12" i="4" l="1"/>
  <c r="G12" i="4" s="1"/>
  <c r="D22" i="4"/>
  <c r="G22" i="4" s="1"/>
  <c r="P13" i="2"/>
  <c r="Q13" i="2" s="1"/>
  <c r="C12" i="4" s="1"/>
  <c r="E12" i="4" s="1"/>
  <c r="P23" i="2"/>
  <c r="Q23" i="2" s="1"/>
  <c r="C22" i="4" s="1"/>
  <c r="N33" i="2"/>
  <c r="N40" i="2" s="1"/>
  <c r="R33" i="2"/>
  <c r="J33" i="2"/>
  <c r="O33" i="2" s="1"/>
  <c r="E22" i="4" l="1"/>
  <c r="D28" i="4"/>
  <c r="G28" i="4" s="1"/>
  <c r="P33" i="2"/>
  <c r="Q33" i="2" s="1"/>
  <c r="O40" i="2"/>
  <c r="P40" i="2" s="1"/>
  <c r="Q40" i="2" s="1"/>
  <c r="C28" i="4" l="1"/>
  <c r="E28" i="4" s="1"/>
</calcChain>
</file>

<file path=xl/sharedStrings.xml><?xml version="1.0" encoding="utf-8"?>
<sst xmlns="http://schemas.openxmlformats.org/spreadsheetml/2006/main" count="245" uniqueCount="176">
  <si>
    <t>Наименование потребителя</t>
  </si>
  <si>
    <t>№ п/п</t>
  </si>
  <si>
    <t>Pном, кВт</t>
  </si>
  <si>
    <t>Uн, В</t>
  </si>
  <si>
    <t>Iном, А</t>
  </si>
  <si>
    <t>cos φ</t>
  </si>
  <si>
    <t>tg φ</t>
  </si>
  <si>
    <t>Kи</t>
  </si>
  <si>
    <t>Кп</t>
  </si>
  <si>
    <t>Iпуск, A</t>
  </si>
  <si>
    <t>1. Трансформатор сварочный ТС-500</t>
  </si>
  <si>
    <t>2. Токарный станок</t>
  </si>
  <si>
    <t>3. Бесцентрошлифовальный станок</t>
  </si>
  <si>
    <t>4. Круглошлифовальный станок 3А-130</t>
  </si>
  <si>
    <t>5. Круглошлифовальный станок 3423</t>
  </si>
  <si>
    <t>7. Вертикально фрезерный станок 6Н-85</t>
  </si>
  <si>
    <t>8. Приточный вентилятор</t>
  </si>
  <si>
    <t>9. Горизонтально фрезерный станок</t>
  </si>
  <si>
    <t>10. Наждак</t>
  </si>
  <si>
    <t>11. Токарно винторезный станок</t>
  </si>
  <si>
    <t>12. Кран Q=5 тонн</t>
  </si>
  <si>
    <t>13. Токарный станок</t>
  </si>
  <si>
    <t>14. Трансформатор сварочный ТС-500</t>
  </si>
  <si>
    <t>15. Токарно винторезный станок</t>
  </si>
  <si>
    <t>16. Токарно-револьверный станок</t>
  </si>
  <si>
    <t>17. Токарно-револьверный станок 15-136</t>
  </si>
  <si>
    <t>18. Приспособление для снятия фаски</t>
  </si>
  <si>
    <t>19. Резьбокатный станок А351В</t>
  </si>
  <si>
    <t>20. Горизонтально фрезерный станок</t>
  </si>
  <si>
    <t>η</t>
  </si>
  <si>
    <t>№</t>
  </si>
  <si>
    <t>Наименование ЭП</t>
  </si>
  <si>
    <t>n</t>
  </si>
  <si>
    <t>Pном [кВт]</t>
  </si>
  <si>
    <t xml:space="preserve">Pн  </t>
  </si>
  <si>
    <t>nP</t>
  </si>
  <si>
    <t>Kисп</t>
  </si>
  <si>
    <t>Pср [кВт]</t>
  </si>
  <si>
    <t xml:space="preserve">Qср  </t>
  </si>
  <si>
    <t>nPн^2</t>
  </si>
  <si>
    <t>Эффективное число ЭП</t>
  </si>
  <si>
    <t>Kp/Ko</t>
  </si>
  <si>
    <t>P расч. [кВт]</t>
  </si>
  <si>
    <t>Q расч. [кВАр]</t>
  </si>
  <si>
    <t>S расч. [кВА]</t>
  </si>
  <si>
    <t>I расч. [А]</t>
  </si>
  <si>
    <t>ПР1</t>
  </si>
  <si>
    <t>Итого</t>
  </si>
  <si>
    <t>Итого ПР1</t>
  </si>
  <si>
    <t>ПР 2</t>
  </si>
  <si>
    <t>ПР3</t>
  </si>
  <si>
    <t>Токарный станок</t>
  </si>
  <si>
    <t>Бесцентрошлифовальный станок</t>
  </si>
  <si>
    <t>Кругло шлифовальный станок</t>
  </si>
  <si>
    <t>Кругло шлифовальный станок 3А-130</t>
  </si>
  <si>
    <t>Кругло шлифовальный станок 3423</t>
  </si>
  <si>
    <t>6. Токарно-винторезный станок IK-63</t>
  </si>
  <si>
    <t>Вертикально фрезерный станок 6Н-85</t>
  </si>
  <si>
    <t>Приточный вентилятор</t>
  </si>
  <si>
    <t>Горизонатльно фрезерный станок</t>
  </si>
  <si>
    <t>Наждак</t>
  </si>
  <si>
    <t>Токарно винторезный станок</t>
  </si>
  <si>
    <t>Токарно-револьверный станок 15-136</t>
  </si>
  <si>
    <t>Приспособление для снятия фаски</t>
  </si>
  <si>
    <t>Резьбокатный станок А351В</t>
  </si>
  <si>
    <t>Трансформатор сварочный ТС-500</t>
  </si>
  <si>
    <t>Кран Q=5</t>
  </si>
  <si>
    <t>Освещение</t>
  </si>
  <si>
    <t>Административное</t>
  </si>
  <si>
    <t>Бытовое</t>
  </si>
  <si>
    <t>Механическое</t>
  </si>
  <si>
    <t>Уборная</t>
  </si>
  <si>
    <t>Итого освещения</t>
  </si>
  <si>
    <t>Итого ГРЩ</t>
  </si>
  <si>
    <t>E, Лх</t>
  </si>
  <si>
    <t>S, м^2</t>
  </si>
  <si>
    <t>Кз</t>
  </si>
  <si>
    <t>U</t>
  </si>
  <si>
    <t>i</t>
  </si>
  <si>
    <t>N</t>
  </si>
  <si>
    <t>Iрасч.расц, А</t>
  </si>
  <si>
    <t>Iпуск, А</t>
  </si>
  <si>
    <t>I прив.расц, А</t>
  </si>
  <si>
    <t>Iприв.уст, А</t>
  </si>
  <si>
    <t>Iрасч.уст, А</t>
  </si>
  <si>
    <t>Коэф-т защиты</t>
  </si>
  <si>
    <t>Iном.расц, А</t>
  </si>
  <si>
    <t>Iдд, А</t>
  </si>
  <si>
    <t>Марка провода</t>
  </si>
  <si>
    <t>Марка выключателя</t>
  </si>
  <si>
    <t>Iвыкл, А</t>
  </si>
  <si>
    <t>ПР</t>
  </si>
  <si>
    <t>Горизонтально фрезерный станок</t>
  </si>
  <si>
    <t>Наименование электроприемника</t>
  </si>
  <si>
    <t>Номер э/п</t>
  </si>
  <si>
    <t>ГРЩ</t>
  </si>
  <si>
    <t>Итого:</t>
  </si>
  <si>
    <t xml:space="preserve">Итого: </t>
  </si>
  <si>
    <t>ТМ</t>
  </si>
  <si>
    <t>Шина 1 - потребитель</t>
  </si>
  <si>
    <t>ГРЩ - ПР 2</t>
  </si>
  <si>
    <t>ГРЩ - ПР 1</t>
  </si>
  <si>
    <t>ГРЩ - ПР 3</t>
  </si>
  <si>
    <t>Шина 2 - потребитель</t>
  </si>
  <si>
    <t>ПР1 - потребитель</t>
  </si>
  <si>
    <t>ПР2 - потребитель</t>
  </si>
  <si>
    <t>ПР3 - потребитель</t>
  </si>
  <si>
    <t>КЗ</t>
  </si>
  <si>
    <t>№ кз</t>
  </si>
  <si>
    <t>КЗ 1</t>
  </si>
  <si>
    <t>КЗ 2</t>
  </si>
  <si>
    <t>Линия - ГРЩ</t>
  </si>
  <si>
    <t>КЗ 3</t>
  </si>
  <si>
    <t>КЗ 6</t>
  </si>
  <si>
    <t>КЗ 7</t>
  </si>
  <si>
    <t>КЗ 5</t>
  </si>
  <si>
    <t>КЗ 11</t>
  </si>
  <si>
    <t>КЗ 4</t>
  </si>
  <si>
    <t>КЗ 8</t>
  </si>
  <si>
    <t>КЗ 9</t>
  </si>
  <si>
    <t>КЗ 12</t>
  </si>
  <si>
    <t>КЗ 10</t>
  </si>
  <si>
    <t>Iкз3, А</t>
  </si>
  <si>
    <t>Sкб, мм2</t>
  </si>
  <si>
    <t>Iкз1, А</t>
  </si>
  <si>
    <t>Xвв, Ом</t>
  </si>
  <si>
    <t>Rвв, Ом</t>
  </si>
  <si>
    <t>Z (3 ф), Ом</t>
  </si>
  <si>
    <t>Z (1 ф), Ом</t>
  </si>
  <si>
    <t>l, м</t>
  </si>
  <si>
    <t>X0, Ом/км</t>
  </si>
  <si>
    <t>R0, Ом/км</t>
  </si>
  <si>
    <t>Ввод</t>
  </si>
  <si>
    <t>Круглошлифовальный станок</t>
  </si>
  <si>
    <t>ШР 1</t>
  </si>
  <si>
    <t>ШР 2</t>
  </si>
  <si>
    <t>ВВГнг-LS 4*25 мм2</t>
  </si>
  <si>
    <t>ВВГнг-LS 5*95 мм2</t>
  </si>
  <si>
    <t>ВВГнг-LS 4*16 мм2</t>
  </si>
  <si>
    <t>ВВГнг-LS 4*95 мм2</t>
  </si>
  <si>
    <t>ВА88-32 3Р 25А 25кА TDM</t>
  </si>
  <si>
    <t>ВА88-32 3Р 16А 25кА TDM</t>
  </si>
  <si>
    <t>ВА88-32 3Р 32А 25кА TDM</t>
  </si>
  <si>
    <t>ВА88-32 3Р 100А 35кА TDM</t>
  </si>
  <si>
    <t>ВА88-32 3Р 160А 35кА TDM</t>
  </si>
  <si>
    <t>ВА88-32 3Р 250А 35кА TDM</t>
  </si>
  <si>
    <t>Итого ШР 1</t>
  </si>
  <si>
    <t>Итого ШР 2</t>
  </si>
  <si>
    <t>ВВГнг-LS 5*35 мм2</t>
  </si>
  <si>
    <t>ВВГнг-LS 4*35 мм2</t>
  </si>
  <si>
    <t>Отношение расстояний между вертикальными электродами к их длине</t>
  </si>
  <si>
    <t>Число вертикальных электродов</t>
  </si>
  <si>
    <t>nтр</t>
  </si>
  <si>
    <t>0.66 - 0.72</t>
  </si>
  <si>
    <t>0.58 - 0.65</t>
  </si>
  <si>
    <t>0.52 - 0.58</t>
  </si>
  <si>
    <t>0.44 - 0.50</t>
  </si>
  <si>
    <t>0.38 - 0.44</t>
  </si>
  <si>
    <t>0.36 - 0.42</t>
  </si>
  <si>
    <t>0.33 - 0.39</t>
  </si>
  <si>
    <t>0.76 - 0.80</t>
  </si>
  <si>
    <t>0.71 - 0.75</t>
  </si>
  <si>
    <t>0.66 - 0.71</t>
  </si>
  <si>
    <t>0.61 - 0.66</t>
  </si>
  <si>
    <t>0.55 - 0.61</t>
  </si>
  <si>
    <t>0.49 - 0.55</t>
  </si>
  <si>
    <t>0.84 - 0.86</t>
  </si>
  <si>
    <t>0.78- 0.82</t>
  </si>
  <si>
    <t>0.74 - 0.78</t>
  </si>
  <si>
    <t>0.68 - 0.73</t>
  </si>
  <si>
    <t>0.64 - 0.69</t>
  </si>
  <si>
    <t>0.62 - 0.67</t>
  </si>
  <si>
    <t>0.59 - 0.65</t>
  </si>
  <si>
    <t>45 + 3</t>
  </si>
  <si>
    <t>ГРЩ - ШР 2</t>
  </si>
  <si>
    <t>ГРЩ - ШР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</si>
</sst>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4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37" xfId="0" applyNumberForma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/>
    <xf numFmtId="0" fontId="0" fillId="0" borderId="38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5" xfId="0" applyNumberForma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NumberFormat="1" applyFill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2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45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38" xfId="0" applyBorder="1"/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" fontId="0" fillId="0" borderId="23" xfId="0" applyNumberFormat="1" applyBorder="1" applyAlignment="1">
      <alignment horizontal="center"/>
    </xf>
    <xf numFmtId="1" fontId="0" fillId="0" borderId="46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" fontId="0" fillId="0" borderId="5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0" fontId="0" fillId="0" borderId="10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2" fontId="0" fillId="0" borderId="2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 wrapText="1"/>
    </xf>
    <xf numFmtId="2" fontId="0" fillId="0" borderId="18" xfId="0" applyNumberFormat="1" applyBorder="1" applyAlignment="1">
      <alignment horizontal="center" wrapText="1"/>
    </xf>
    <xf numFmtId="2" fontId="0" fillId="0" borderId="30" xfId="0" applyNumberFormat="1" applyBorder="1" applyAlignment="1">
      <alignment horizontal="center" wrapText="1"/>
    </xf>
    <xf numFmtId="2" fontId="0" fillId="0" borderId="16" xfId="0" applyNumberFormat="1" applyBorder="1" applyAlignment="1">
      <alignment horizontal="center" wrapText="1"/>
    </xf>
    <xf numFmtId="0" fontId="0" fillId="0" borderId="4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2" fontId="0" fillId="0" borderId="46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0" borderId="49" xfId="0" applyNumberFormat="1" applyBorder="1" applyAlignment="1">
      <alignment horizontal="center" wrapText="1"/>
    </xf>
    <xf numFmtId="2" fontId="0" fillId="0" borderId="55" xfId="0" applyNumberFormat="1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70" zoomScaleNormal="70" workbookViewId="0">
      <selection activeCell="E15" sqref="E15"/>
    </sheetView>
  </sheetViews>
  <sheetFormatPr defaultRowHeight="18.75" x14ac:dyDescent="0.3"/>
  <cols>
    <col min="1" max="1" width="39.5546875" bestFit="1" customWidth="1"/>
    <col min="3" max="3" width="9.88671875" customWidth="1"/>
  </cols>
  <sheetData>
    <row r="1" spans="1:11" ht="19.5" thickBot="1" x14ac:dyDescent="0.35">
      <c r="A1" s="7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22" t="s">
        <v>9</v>
      </c>
      <c r="K1" s="10" t="s">
        <v>29</v>
      </c>
    </row>
    <row r="2" spans="1:11" x14ac:dyDescent="0.3">
      <c r="A2" s="4" t="s">
        <v>10</v>
      </c>
      <c r="B2" s="5">
        <v>1</v>
      </c>
      <c r="C2" s="6">
        <v>12.8</v>
      </c>
      <c r="D2" s="6">
        <v>380</v>
      </c>
      <c r="E2" s="106">
        <f t="shared" ref="E2:E21" si="0">(C2/(D2*F2*SQRT(3)))*1000</f>
        <v>20.471145278745734</v>
      </c>
      <c r="F2" s="6">
        <v>0.95</v>
      </c>
      <c r="G2" s="6">
        <f>TAN(ACOS(F2))</f>
        <v>0.32868410517886321</v>
      </c>
      <c r="H2" s="6">
        <v>0.3</v>
      </c>
      <c r="I2" s="6">
        <v>2.5</v>
      </c>
      <c r="J2" s="20">
        <f>E2*I2</f>
        <v>51.177863196864337</v>
      </c>
      <c r="K2" s="21">
        <f>H2+0.05</f>
        <v>0.35</v>
      </c>
    </row>
    <row r="3" spans="1:11" x14ac:dyDescent="0.3">
      <c r="A3" s="2" t="s">
        <v>11</v>
      </c>
      <c r="B3" s="1">
        <v>2</v>
      </c>
      <c r="C3" s="106">
        <v>7.13</v>
      </c>
      <c r="D3" s="106">
        <v>380</v>
      </c>
      <c r="E3" s="106">
        <f t="shared" si="0"/>
        <v>11.403067643551335</v>
      </c>
      <c r="F3" s="6">
        <v>0.95</v>
      </c>
      <c r="G3" s="106">
        <f t="shared" ref="G3:G21" si="1">TAN(ACOS(F3))</f>
        <v>0.32868410517886321</v>
      </c>
      <c r="H3" s="106">
        <v>0.75</v>
      </c>
      <c r="I3" s="106">
        <v>7</v>
      </c>
      <c r="J3" s="15">
        <f t="shared" ref="J3:J21" si="2">E3*I3</f>
        <v>79.821473504859341</v>
      </c>
      <c r="K3" s="18">
        <f>H3+0.05</f>
        <v>0.8</v>
      </c>
    </row>
    <row r="4" spans="1:11" x14ac:dyDescent="0.3">
      <c r="A4" s="2" t="s">
        <v>12</v>
      </c>
      <c r="B4" s="1">
        <v>3</v>
      </c>
      <c r="C4" s="106">
        <v>5</v>
      </c>
      <c r="D4" s="106">
        <v>380</v>
      </c>
      <c r="E4" s="106">
        <f t="shared" si="0"/>
        <v>7.9965411245100526</v>
      </c>
      <c r="F4" s="6">
        <v>0.95</v>
      </c>
      <c r="G4" s="106">
        <f t="shared" si="1"/>
        <v>0.32868410517886321</v>
      </c>
      <c r="H4" s="106">
        <v>0.55000000000000004</v>
      </c>
      <c r="I4" s="106">
        <v>7</v>
      </c>
      <c r="J4" s="15">
        <f t="shared" si="2"/>
        <v>55.975787871570368</v>
      </c>
      <c r="K4" s="18">
        <f>H4+0.05</f>
        <v>0.60000000000000009</v>
      </c>
    </row>
    <row r="5" spans="1:11" x14ac:dyDescent="0.3">
      <c r="A5" s="2" t="s">
        <v>13</v>
      </c>
      <c r="B5" s="1">
        <v>4</v>
      </c>
      <c r="C5" s="106">
        <v>4</v>
      </c>
      <c r="D5" s="106">
        <v>380</v>
      </c>
      <c r="E5" s="106">
        <f t="shared" si="0"/>
        <v>6.3972328996080421</v>
      </c>
      <c r="F5" s="6">
        <v>0.95</v>
      </c>
      <c r="G5" s="106">
        <f t="shared" si="1"/>
        <v>0.32868410517886321</v>
      </c>
      <c r="H5" s="106">
        <v>0.5</v>
      </c>
      <c r="I5" s="106">
        <v>7</v>
      </c>
      <c r="J5" s="15">
        <f t="shared" si="2"/>
        <v>44.780630297256295</v>
      </c>
      <c r="K5" s="18">
        <f>H5+0.05</f>
        <v>0.55000000000000004</v>
      </c>
    </row>
    <row r="6" spans="1:11" x14ac:dyDescent="0.3">
      <c r="A6" s="2" t="s">
        <v>14</v>
      </c>
      <c r="B6" s="1">
        <v>5</v>
      </c>
      <c r="C6" s="106">
        <v>8.0299999999999994</v>
      </c>
      <c r="D6" s="106">
        <v>380</v>
      </c>
      <c r="E6" s="106">
        <f t="shared" si="0"/>
        <v>12.842445045963144</v>
      </c>
      <c r="F6" s="6">
        <v>0.95</v>
      </c>
      <c r="G6" s="106">
        <f t="shared" si="1"/>
        <v>0.32868410517886321</v>
      </c>
      <c r="H6" s="106">
        <v>0.46</v>
      </c>
      <c r="I6" s="106">
        <v>7</v>
      </c>
      <c r="J6" s="15">
        <f t="shared" si="2"/>
        <v>89.897115321742007</v>
      </c>
      <c r="K6" s="18">
        <f t="shared" ref="K6:K21" si="3">H6+0.05</f>
        <v>0.51</v>
      </c>
    </row>
    <row r="7" spans="1:11" x14ac:dyDescent="0.3">
      <c r="A7" s="2" t="s">
        <v>56</v>
      </c>
      <c r="B7" s="1">
        <v>6</v>
      </c>
      <c r="C7" s="106">
        <v>11.1</v>
      </c>
      <c r="D7" s="106">
        <v>380</v>
      </c>
      <c r="E7" s="106">
        <f>(C7/(D7*F7*SQRT(3)))*1000</f>
        <v>17.752321296412315</v>
      </c>
      <c r="F7" s="6">
        <v>0.95</v>
      </c>
      <c r="G7" s="106">
        <f t="shared" si="1"/>
        <v>0.32868410517886321</v>
      </c>
      <c r="H7" s="106">
        <v>0.77</v>
      </c>
      <c r="I7" s="106">
        <v>5</v>
      </c>
      <c r="J7" s="15">
        <f t="shared" si="2"/>
        <v>88.76160648206158</v>
      </c>
      <c r="K7" s="18">
        <f t="shared" si="3"/>
        <v>0.82000000000000006</v>
      </c>
    </row>
    <row r="8" spans="1:11" x14ac:dyDescent="0.3">
      <c r="A8" s="2" t="s">
        <v>15</v>
      </c>
      <c r="B8" s="1">
        <v>7</v>
      </c>
      <c r="C8" s="106">
        <v>8.83</v>
      </c>
      <c r="D8" s="106">
        <v>380</v>
      </c>
      <c r="E8" s="106">
        <f t="shared" si="0"/>
        <v>14.121891625884754</v>
      </c>
      <c r="F8" s="6">
        <v>0.95</v>
      </c>
      <c r="G8" s="106">
        <f t="shared" si="1"/>
        <v>0.32868410517886321</v>
      </c>
      <c r="H8" s="106">
        <v>0.66</v>
      </c>
      <c r="I8" s="106">
        <v>7</v>
      </c>
      <c r="J8" s="15">
        <f t="shared" si="2"/>
        <v>98.853241381193271</v>
      </c>
      <c r="K8" s="18">
        <f t="shared" si="3"/>
        <v>0.71000000000000008</v>
      </c>
    </row>
    <row r="9" spans="1:11" x14ac:dyDescent="0.3">
      <c r="A9" s="2" t="s">
        <v>16</v>
      </c>
      <c r="B9" s="1">
        <v>8</v>
      </c>
      <c r="C9" s="106">
        <v>10</v>
      </c>
      <c r="D9" s="106">
        <v>380</v>
      </c>
      <c r="E9" s="106">
        <f t="shared" si="0"/>
        <v>15.993082249020105</v>
      </c>
      <c r="F9" s="6">
        <v>0.95</v>
      </c>
      <c r="G9" s="106">
        <f t="shared" si="1"/>
        <v>0.32868410517886321</v>
      </c>
      <c r="H9" s="106">
        <v>0.95</v>
      </c>
      <c r="I9" s="106">
        <v>7</v>
      </c>
      <c r="J9" s="15">
        <f>E9*I9</f>
        <v>111.95157574314074</v>
      </c>
      <c r="K9" s="18">
        <f>0.98</f>
        <v>0.98</v>
      </c>
    </row>
    <row r="10" spans="1:11" x14ac:dyDescent="0.3">
      <c r="A10" s="2" t="s">
        <v>17</v>
      </c>
      <c r="B10" s="1">
        <v>9</v>
      </c>
      <c r="C10" s="106">
        <v>9.93</v>
      </c>
      <c r="D10" s="106">
        <v>380</v>
      </c>
      <c r="E10" s="106">
        <f t="shared" si="0"/>
        <v>15.881130673276962</v>
      </c>
      <c r="F10" s="6">
        <v>0.95</v>
      </c>
      <c r="G10" s="106">
        <f t="shared" si="1"/>
        <v>0.32868410517886321</v>
      </c>
      <c r="H10" s="106">
        <v>0.78</v>
      </c>
      <c r="I10" s="106">
        <v>7</v>
      </c>
      <c r="J10" s="15">
        <f t="shared" si="2"/>
        <v>111.16791471293874</v>
      </c>
      <c r="K10" s="18">
        <f t="shared" si="3"/>
        <v>0.83000000000000007</v>
      </c>
    </row>
    <row r="11" spans="1:11" x14ac:dyDescent="0.3">
      <c r="A11" s="2" t="s">
        <v>18</v>
      </c>
      <c r="B11" s="1">
        <v>10</v>
      </c>
      <c r="C11" s="106">
        <v>2.2000000000000002</v>
      </c>
      <c r="D11" s="106">
        <v>380</v>
      </c>
      <c r="E11" s="106">
        <f t="shared" si="0"/>
        <v>3.518478094784423</v>
      </c>
      <c r="F11" s="6">
        <v>0.95</v>
      </c>
      <c r="G11" s="106">
        <f t="shared" si="1"/>
        <v>0.32868410517886321</v>
      </c>
      <c r="H11" s="106">
        <v>0.4</v>
      </c>
      <c r="I11" s="106">
        <v>7</v>
      </c>
      <c r="J11" s="15">
        <f t="shared" si="2"/>
        <v>24.62934666349096</v>
      </c>
      <c r="K11" s="18">
        <f t="shared" si="3"/>
        <v>0.45</v>
      </c>
    </row>
    <row r="12" spans="1:11" x14ac:dyDescent="0.3">
      <c r="A12" s="2" t="s">
        <v>19</v>
      </c>
      <c r="B12" s="1">
        <v>11</v>
      </c>
      <c r="C12" s="106">
        <v>7.13</v>
      </c>
      <c r="D12" s="106">
        <v>380</v>
      </c>
      <c r="E12" s="106">
        <f t="shared" si="0"/>
        <v>11.403067643551335</v>
      </c>
      <c r="F12" s="6">
        <v>0.95</v>
      </c>
      <c r="G12" s="106">
        <f t="shared" si="1"/>
        <v>0.32868410517886321</v>
      </c>
      <c r="H12" s="106">
        <v>0.45</v>
      </c>
      <c r="I12" s="106">
        <v>7</v>
      </c>
      <c r="J12" s="15">
        <f t="shared" si="2"/>
        <v>79.821473504859341</v>
      </c>
      <c r="K12" s="18">
        <f t="shared" si="3"/>
        <v>0.5</v>
      </c>
    </row>
    <row r="13" spans="1:11" x14ac:dyDescent="0.3">
      <c r="A13" s="2" t="s">
        <v>20</v>
      </c>
      <c r="B13" s="1">
        <v>12</v>
      </c>
      <c r="C13" s="106">
        <v>11.8</v>
      </c>
      <c r="D13" s="106">
        <v>380</v>
      </c>
      <c r="E13" s="106">
        <f t="shared" si="0"/>
        <v>18.871837053843723</v>
      </c>
      <c r="F13" s="6">
        <v>0.95</v>
      </c>
      <c r="G13" s="106">
        <f t="shared" si="1"/>
        <v>0.32868410517886321</v>
      </c>
      <c r="H13" s="106">
        <v>0.1</v>
      </c>
      <c r="I13" s="106">
        <v>3.5</v>
      </c>
      <c r="J13" s="15">
        <f>E13*I13</f>
        <v>66.051429688453027</v>
      </c>
      <c r="K13" s="18">
        <f t="shared" si="3"/>
        <v>0.15000000000000002</v>
      </c>
    </row>
    <row r="14" spans="1:11" x14ac:dyDescent="0.3">
      <c r="A14" s="2" t="s">
        <v>21</v>
      </c>
      <c r="B14" s="1">
        <v>13</v>
      </c>
      <c r="C14" s="106">
        <v>7.3</v>
      </c>
      <c r="D14" s="106">
        <v>380</v>
      </c>
      <c r="E14" s="106">
        <f t="shared" si="0"/>
        <v>11.674950041784676</v>
      </c>
      <c r="F14" s="6">
        <v>0.95</v>
      </c>
      <c r="G14" s="106">
        <f t="shared" si="1"/>
        <v>0.32868410517886321</v>
      </c>
      <c r="H14" s="106">
        <v>0.82</v>
      </c>
      <c r="I14" s="106">
        <v>7</v>
      </c>
      <c r="J14" s="15">
        <f t="shared" si="2"/>
        <v>81.724650292492726</v>
      </c>
      <c r="K14" s="18">
        <f t="shared" si="3"/>
        <v>0.87</v>
      </c>
    </row>
    <row r="15" spans="1:11" x14ac:dyDescent="0.3">
      <c r="A15" s="2" t="s">
        <v>22</v>
      </c>
      <c r="B15" s="1">
        <v>14</v>
      </c>
      <c r="C15" s="106">
        <v>12.8</v>
      </c>
      <c r="D15" s="106">
        <v>380</v>
      </c>
      <c r="E15" s="106">
        <f t="shared" si="0"/>
        <v>20.471145278745734</v>
      </c>
      <c r="F15" s="6">
        <v>0.95</v>
      </c>
      <c r="G15" s="106">
        <f t="shared" si="1"/>
        <v>0.32868410517886321</v>
      </c>
      <c r="H15" s="106">
        <v>0.3</v>
      </c>
      <c r="I15" s="106">
        <v>2.5</v>
      </c>
      <c r="J15" s="15">
        <f t="shared" si="2"/>
        <v>51.177863196864337</v>
      </c>
      <c r="K15" s="18">
        <f t="shared" si="3"/>
        <v>0.35</v>
      </c>
    </row>
    <row r="16" spans="1:11" x14ac:dyDescent="0.3">
      <c r="A16" s="2" t="s">
        <v>23</v>
      </c>
      <c r="B16" s="1">
        <v>15</v>
      </c>
      <c r="C16" s="106">
        <v>4.13</v>
      </c>
      <c r="D16" s="106">
        <v>380</v>
      </c>
      <c r="E16" s="106">
        <f t="shared" si="0"/>
        <v>6.6051429688453034</v>
      </c>
      <c r="F16" s="6">
        <v>0.95</v>
      </c>
      <c r="G16" s="106">
        <f t="shared" si="1"/>
        <v>0.32868410517886321</v>
      </c>
      <c r="H16" s="106">
        <v>0.74</v>
      </c>
      <c r="I16" s="106">
        <v>7</v>
      </c>
      <c r="J16" s="15">
        <f t="shared" si="2"/>
        <v>46.236000781917127</v>
      </c>
      <c r="K16" s="18">
        <f t="shared" si="3"/>
        <v>0.79</v>
      </c>
    </row>
    <row r="17" spans="1:11" x14ac:dyDescent="0.3">
      <c r="A17" s="2" t="s">
        <v>24</v>
      </c>
      <c r="B17" s="1">
        <v>16</v>
      </c>
      <c r="C17" s="106">
        <v>6.63</v>
      </c>
      <c r="D17" s="106">
        <v>380</v>
      </c>
      <c r="E17" s="106">
        <f t="shared" si="0"/>
        <v>10.60341353110033</v>
      </c>
      <c r="F17" s="6">
        <v>0.95</v>
      </c>
      <c r="G17" s="106">
        <f t="shared" si="1"/>
        <v>0.32868410517886321</v>
      </c>
      <c r="H17" s="106">
        <v>0.81</v>
      </c>
      <c r="I17" s="106">
        <v>7</v>
      </c>
      <c r="J17" s="15">
        <f t="shared" si="2"/>
        <v>74.223894717702308</v>
      </c>
      <c r="K17" s="18">
        <f t="shared" si="3"/>
        <v>0.8600000000000001</v>
      </c>
    </row>
    <row r="18" spans="1:11" x14ac:dyDescent="0.3">
      <c r="A18" s="2" t="s">
        <v>25</v>
      </c>
      <c r="B18" s="1">
        <v>17</v>
      </c>
      <c r="C18" s="106">
        <v>6.23</v>
      </c>
      <c r="D18" s="106">
        <v>380</v>
      </c>
      <c r="E18" s="106">
        <f t="shared" si="0"/>
        <v>9.9636902411395258</v>
      </c>
      <c r="F18" s="6">
        <v>0.95</v>
      </c>
      <c r="G18" s="106">
        <f t="shared" si="1"/>
        <v>0.32868410517886321</v>
      </c>
      <c r="H18" s="106">
        <v>0.76</v>
      </c>
      <c r="I18" s="106">
        <v>7</v>
      </c>
      <c r="J18" s="15">
        <f t="shared" si="2"/>
        <v>69.745831687976676</v>
      </c>
      <c r="K18" s="18">
        <f t="shared" si="3"/>
        <v>0.81</v>
      </c>
    </row>
    <row r="19" spans="1:11" x14ac:dyDescent="0.3">
      <c r="A19" s="2" t="s">
        <v>26</v>
      </c>
      <c r="B19" s="1">
        <v>18</v>
      </c>
      <c r="C19" s="106">
        <v>7</v>
      </c>
      <c r="D19" s="106">
        <v>380</v>
      </c>
      <c r="E19" s="106">
        <f t="shared" si="0"/>
        <v>11.195157574314072</v>
      </c>
      <c r="F19" s="6">
        <v>0.95</v>
      </c>
      <c r="G19" s="106">
        <f t="shared" si="1"/>
        <v>0.32868410517886321</v>
      </c>
      <c r="H19" s="106">
        <v>0.55000000000000004</v>
      </c>
      <c r="I19" s="106">
        <v>7</v>
      </c>
      <c r="J19" s="15">
        <f t="shared" si="2"/>
        <v>78.366103020198508</v>
      </c>
      <c r="K19" s="18">
        <f t="shared" si="3"/>
        <v>0.60000000000000009</v>
      </c>
    </row>
    <row r="20" spans="1:11" x14ac:dyDescent="0.3">
      <c r="A20" s="2" t="s">
        <v>27</v>
      </c>
      <c r="B20" s="11">
        <v>19</v>
      </c>
      <c r="C20" s="107">
        <v>3.31</v>
      </c>
      <c r="D20" s="107">
        <v>380</v>
      </c>
      <c r="E20" s="106">
        <f t="shared" si="0"/>
        <v>5.293710224425654</v>
      </c>
      <c r="F20" s="24">
        <v>0.95</v>
      </c>
      <c r="G20" s="107">
        <f t="shared" si="1"/>
        <v>0.32868410517886321</v>
      </c>
      <c r="H20" s="107">
        <v>0.4</v>
      </c>
      <c r="I20" s="107">
        <v>7</v>
      </c>
      <c r="J20" s="16">
        <f t="shared" si="2"/>
        <v>37.05597157097958</v>
      </c>
      <c r="K20" s="19">
        <f t="shared" si="3"/>
        <v>0.45</v>
      </c>
    </row>
    <row r="21" spans="1:11" ht="19.5" thickBot="1" x14ac:dyDescent="0.35">
      <c r="A21" s="3" t="s">
        <v>28</v>
      </c>
      <c r="B21" s="12">
        <v>20</v>
      </c>
      <c r="C21" s="13">
        <v>6</v>
      </c>
      <c r="D21" s="13">
        <v>380</v>
      </c>
      <c r="E21" s="13">
        <f t="shared" si="0"/>
        <v>9.5958493494120631</v>
      </c>
      <c r="F21" s="13">
        <v>0.95</v>
      </c>
      <c r="G21" s="23">
        <f t="shared" si="1"/>
        <v>0.32868410517886321</v>
      </c>
      <c r="H21" s="13">
        <v>0.65</v>
      </c>
      <c r="I21" s="13">
        <v>7</v>
      </c>
      <c r="J21" s="17">
        <f t="shared" si="2"/>
        <v>67.170945445884442</v>
      </c>
      <c r="K21" s="14">
        <f t="shared" si="3"/>
        <v>0.70000000000000007</v>
      </c>
    </row>
  </sheetData>
  <pageMargins left="0.7" right="0.7" top="0.75" bottom="0.75" header="0.3" footer="0.3"/>
  <pageSetup paperSize="9" orientation="portrait" r:id="rId1"/>
  <ignoredErrors>
    <ignoredError sqref="K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zoomScale="50" zoomScaleNormal="50" workbookViewId="0">
      <selection activeCell="U31" sqref="U31"/>
    </sheetView>
  </sheetViews>
  <sheetFormatPr defaultRowHeight="18.75" x14ac:dyDescent="0.3"/>
  <cols>
    <col min="1" max="1" width="18.44140625" bestFit="1" customWidth="1"/>
    <col min="2" max="2" width="35.77734375" bestFit="1" customWidth="1"/>
    <col min="8" max="8" width="10.77734375" bestFit="1" customWidth="1"/>
    <col min="12" max="12" width="13.88671875" customWidth="1"/>
  </cols>
  <sheetData>
    <row r="1" spans="1:18" x14ac:dyDescent="0.3">
      <c r="A1" s="112" t="s">
        <v>30</v>
      </c>
      <c r="B1" s="135" t="s">
        <v>31</v>
      </c>
      <c r="C1" s="136" t="s">
        <v>32</v>
      </c>
      <c r="D1" s="136" t="s">
        <v>33</v>
      </c>
      <c r="E1" s="136"/>
      <c r="F1" s="136" t="s">
        <v>36</v>
      </c>
      <c r="G1" s="136" t="s">
        <v>5</v>
      </c>
      <c r="H1" s="136" t="s">
        <v>6</v>
      </c>
      <c r="I1" s="136" t="s">
        <v>37</v>
      </c>
      <c r="J1" s="136" t="s">
        <v>38</v>
      </c>
      <c r="K1" s="136" t="s">
        <v>39</v>
      </c>
      <c r="L1" s="137" t="s">
        <v>40</v>
      </c>
      <c r="M1" s="136" t="s">
        <v>41</v>
      </c>
      <c r="N1" s="137" t="s">
        <v>42</v>
      </c>
      <c r="O1" s="137" t="s">
        <v>43</v>
      </c>
      <c r="P1" s="138" t="s">
        <v>44</v>
      </c>
      <c r="Q1" s="123" t="s">
        <v>45</v>
      </c>
    </row>
    <row r="2" spans="1:18" ht="19.5" thickBot="1" x14ac:dyDescent="0.35">
      <c r="A2" s="113"/>
      <c r="B2" s="114"/>
      <c r="C2" s="111"/>
      <c r="D2" s="107" t="s">
        <v>34</v>
      </c>
      <c r="E2" s="107" t="s">
        <v>35</v>
      </c>
      <c r="F2" s="111"/>
      <c r="G2" s="111"/>
      <c r="H2" s="111"/>
      <c r="I2" s="111"/>
      <c r="J2" s="111"/>
      <c r="K2" s="111"/>
      <c r="L2" s="121"/>
      <c r="M2" s="111"/>
      <c r="N2" s="121"/>
      <c r="O2" s="121"/>
      <c r="P2" s="122"/>
      <c r="Q2" s="124"/>
    </row>
    <row r="3" spans="1:18" ht="19.5" thickBot="1" x14ac:dyDescent="0.35">
      <c r="A3" s="118" t="s">
        <v>134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20"/>
    </row>
    <row r="4" spans="1:18" x14ac:dyDescent="0.3">
      <c r="A4" s="49">
        <v>2</v>
      </c>
      <c r="B4" s="108" t="s">
        <v>51</v>
      </c>
      <c r="C4" s="56">
        <v>1</v>
      </c>
      <c r="D4" s="6">
        <f>'Ведомость электропотребителей'!C3</f>
        <v>7.13</v>
      </c>
      <c r="E4" s="6">
        <f>D4*C4</f>
        <v>7.13</v>
      </c>
      <c r="F4" s="6">
        <f>'Ведомость электропотребителей'!H3</f>
        <v>0.75</v>
      </c>
      <c r="G4" s="6">
        <f>'Ведомость электропотребителей'!F3</f>
        <v>0.95</v>
      </c>
      <c r="H4" s="6">
        <f>TAN(ACOS(G4))</f>
        <v>0.32868410517886321</v>
      </c>
      <c r="I4" s="6">
        <f>E4*F4</f>
        <v>5.3475000000000001</v>
      </c>
      <c r="J4" s="6">
        <f>I4*H4</f>
        <v>1.7576382524439711</v>
      </c>
      <c r="K4" s="6">
        <f>C4*D4*D4</f>
        <v>50.8369</v>
      </c>
      <c r="L4" s="6"/>
      <c r="M4" s="6"/>
      <c r="N4" s="6"/>
      <c r="O4" s="6"/>
      <c r="P4" s="20"/>
      <c r="Q4" s="27"/>
    </row>
    <row r="5" spans="1:18" x14ac:dyDescent="0.3">
      <c r="A5" s="50">
        <v>3</v>
      </c>
      <c r="B5" s="28" t="s">
        <v>52</v>
      </c>
      <c r="C5" s="56">
        <v>1</v>
      </c>
      <c r="D5" s="106">
        <f>'Ведомость электропотребителей'!C4</f>
        <v>5</v>
      </c>
      <c r="E5" s="6">
        <f t="shared" ref="E5:E12" si="0">D5*C5</f>
        <v>5</v>
      </c>
      <c r="F5" s="106">
        <f>'Ведомость электропотребителей'!H4</f>
        <v>0.55000000000000004</v>
      </c>
      <c r="G5" s="106">
        <f>'Ведомость электропотребителей'!F4</f>
        <v>0.95</v>
      </c>
      <c r="H5" s="6">
        <f t="shared" ref="H5:H12" si="1">TAN(ACOS(G5))</f>
        <v>0.32868410517886321</v>
      </c>
      <c r="I5" s="6">
        <f t="shared" ref="I5:I13" si="2">E5*F5</f>
        <v>2.75</v>
      </c>
      <c r="J5" s="6">
        <f t="shared" ref="J5:J12" si="3">I5*H5</f>
        <v>0.90388128924187383</v>
      </c>
      <c r="K5" s="6">
        <f t="shared" ref="K5:K12" si="4">C5*D5*D5</f>
        <v>25</v>
      </c>
      <c r="L5" s="106"/>
      <c r="M5" s="106"/>
      <c r="N5" s="106"/>
      <c r="O5" s="106"/>
      <c r="P5" s="15"/>
      <c r="Q5" s="18"/>
    </row>
    <row r="6" spans="1:18" x14ac:dyDescent="0.3">
      <c r="A6" s="50">
        <v>4</v>
      </c>
      <c r="B6" s="28" t="s">
        <v>53</v>
      </c>
      <c r="C6" s="56">
        <v>1</v>
      </c>
      <c r="D6" s="106">
        <f>'Ведомость электропотребителей'!C5</f>
        <v>4</v>
      </c>
      <c r="E6" s="6">
        <f t="shared" si="0"/>
        <v>4</v>
      </c>
      <c r="F6" s="6">
        <f>'Ведомость электропотребителей'!H5</f>
        <v>0.5</v>
      </c>
      <c r="G6" s="6">
        <f>'Ведомость электропотребителей'!F5</f>
        <v>0.95</v>
      </c>
      <c r="H6" s="6">
        <f t="shared" si="1"/>
        <v>0.32868410517886321</v>
      </c>
      <c r="I6" s="6">
        <f t="shared" si="2"/>
        <v>2</v>
      </c>
      <c r="J6" s="6">
        <f t="shared" si="3"/>
        <v>0.65736821035772641</v>
      </c>
      <c r="K6" s="6">
        <f t="shared" si="4"/>
        <v>16</v>
      </c>
      <c r="L6" s="106"/>
      <c r="M6" s="106"/>
      <c r="N6" s="106"/>
      <c r="O6" s="106"/>
      <c r="P6" s="15"/>
      <c r="Q6" s="18"/>
    </row>
    <row r="7" spans="1:18" x14ac:dyDescent="0.3">
      <c r="A7" s="50">
        <v>5</v>
      </c>
      <c r="B7" s="28" t="s">
        <v>54</v>
      </c>
      <c r="C7" s="56">
        <v>1</v>
      </c>
      <c r="D7" s="106">
        <f>'Ведомость электропотребителей'!C6</f>
        <v>8.0299999999999994</v>
      </c>
      <c r="E7" s="6">
        <f t="shared" si="0"/>
        <v>8.0299999999999994</v>
      </c>
      <c r="F7" s="6">
        <f>'Ведомость электропотребителей'!H6</f>
        <v>0.46</v>
      </c>
      <c r="G7" s="106">
        <f>'Ведомость электропотребителей'!F6</f>
        <v>0.95</v>
      </c>
      <c r="H7" s="6">
        <f t="shared" si="1"/>
        <v>0.32868410517886321</v>
      </c>
      <c r="I7" s="6">
        <f t="shared" si="2"/>
        <v>3.6938</v>
      </c>
      <c r="J7" s="6">
        <f t="shared" si="3"/>
        <v>1.2140933477096849</v>
      </c>
      <c r="K7" s="6">
        <f t="shared" si="4"/>
        <v>64.480899999999991</v>
      </c>
      <c r="L7" s="106"/>
      <c r="M7" s="106"/>
      <c r="N7" s="106"/>
      <c r="O7" s="106"/>
      <c r="P7" s="15"/>
      <c r="Q7" s="18"/>
    </row>
    <row r="8" spans="1:18" x14ac:dyDescent="0.3">
      <c r="A8" s="50">
        <v>10</v>
      </c>
      <c r="B8" s="28" t="s">
        <v>60</v>
      </c>
      <c r="C8" s="56">
        <v>1</v>
      </c>
      <c r="D8" s="106">
        <f>'Ведомость электропотребителей'!C11</f>
        <v>2.2000000000000002</v>
      </c>
      <c r="E8" s="6">
        <f t="shared" si="0"/>
        <v>2.2000000000000002</v>
      </c>
      <c r="F8" s="106">
        <f>'Ведомость электропотребителей'!H7</f>
        <v>0.77</v>
      </c>
      <c r="G8" s="6">
        <f>'Ведомость электропотребителей'!F7</f>
        <v>0.95</v>
      </c>
      <c r="H8" s="6">
        <f t="shared" si="1"/>
        <v>0.32868410517886321</v>
      </c>
      <c r="I8" s="6">
        <f t="shared" si="2"/>
        <v>1.6940000000000002</v>
      </c>
      <c r="J8" s="6">
        <f t="shared" si="3"/>
        <v>0.55679087417299433</v>
      </c>
      <c r="K8" s="6">
        <f t="shared" si="4"/>
        <v>4.8400000000000007</v>
      </c>
      <c r="L8" s="106"/>
      <c r="M8" s="106"/>
      <c r="N8" s="106"/>
      <c r="O8" s="106"/>
      <c r="P8" s="15"/>
      <c r="Q8" s="18"/>
    </row>
    <row r="9" spans="1:18" x14ac:dyDescent="0.3">
      <c r="A9" s="50">
        <v>7</v>
      </c>
      <c r="B9" s="28" t="s">
        <v>57</v>
      </c>
      <c r="C9" s="56">
        <v>1</v>
      </c>
      <c r="D9" s="106">
        <f>'Ведомость электропотребителей'!C8</f>
        <v>8.83</v>
      </c>
      <c r="E9" s="6">
        <f t="shared" si="0"/>
        <v>8.83</v>
      </c>
      <c r="F9" s="6">
        <f>'Ведомость электропотребителей'!H8</f>
        <v>0.66</v>
      </c>
      <c r="G9" s="106">
        <f>'Ведомость электропотребителей'!F8</f>
        <v>0.95</v>
      </c>
      <c r="H9" s="6">
        <f t="shared" si="1"/>
        <v>0.32868410517886321</v>
      </c>
      <c r="I9" s="6">
        <f t="shared" si="2"/>
        <v>5.8278000000000008</v>
      </c>
      <c r="J9" s="6">
        <f t="shared" si="3"/>
        <v>1.9155052281613791</v>
      </c>
      <c r="K9" s="6">
        <f t="shared" si="4"/>
        <v>77.968900000000005</v>
      </c>
      <c r="L9" s="106"/>
      <c r="M9" s="106"/>
      <c r="N9" s="106"/>
      <c r="O9" s="106"/>
      <c r="P9" s="15"/>
      <c r="Q9" s="18"/>
    </row>
    <row r="10" spans="1:18" x14ac:dyDescent="0.3">
      <c r="A10" s="50">
        <v>8</v>
      </c>
      <c r="B10" s="28" t="s">
        <v>58</v>
      </c>
      <c r="C10" s="56">
        <v>1</v>
      </c>
      <c r="D10" s="106">
        <f>'Ведомость электропотребителей'!C9</f>
        <v>10</v>
      </c>
      <c r="E10" s="6">
        <f t="shared" si="0"/>
        <v>10</v>
      </c>
      <c r="F10" s="6">
        <f>'Ведомость электропотребителей'!H9</f>
        <v>0.95</v>
      </c>
      <c r="G10" s="6">
        <f>'Ведомость электропотребителей'!F9</f>
        <v>0.95</v>
      </c>
      <c r="H10" s="6">
        <f t="shared" si="1"/>
        <v>0.32868410517886321</v>
      </c>
      <c r="I10" s="6">
        <f t="shared" si="2"/>
        <v>9.5</v>
      </c>
      <c r="J10" s="6">
        <f t="shared" si="3"/>
        <v>3.1224989991992005</v>
      </c>
      <c r="K10" s="6">
        <f t="shared" si="4"/>
        <v>100</v>
      </c>
      <c r="L10" s="106"/>
      <c r="M10" s="106"/>
      <c r="N10" s="106"/>
      <c r="O10" s="106"/>
      <c r="P10" s="15"/>
      <c r="Q10" s="18"/>
    </row>
    <row r="11" spans="1:18" x14ac:dyDescent="0.3">
      <c r="A11" s="50">
        <v>9</v>
      </c>
      <c r="B11" s="28" t="s">
        <v>59</v>
      </c>
      <c r="C11" s="56">
        <v>1</v>
      </c>
      <c r="D11" s="106">
        <f>'Ведомость электропотребителей'!C10</f>
        <v>9.93</v>
      </c>
      <c r="E11" s="6">
        <f t="shared" si="0"/>
        <v>9.93</v>
      </c>
      <c r="F11" s="106">
        <f>'Ведомость электропотребителей'!H10</f>
        <v>0.78</v>
      </c>
      <c r="G11" s="106">
        <f>'Ведомость электропотребителей'!F10</f>
        <v>0.95</v>
      </c>
      <c r="H11" s="6">
        <f t="shared" si="1"/>
        <v>0.32868410517886321</v>
      </c>
      <c r="I11" s="6">
        <f t="shared" si="2"/>
        <v>7.7454000000000001</v>
      </c>
      <c r="J11" s="6">
        <f t="shared" si="3"/>
        <v>2.545789868252367</v>
      </c>
      <c r="K11" s="6">
        <f t="shared" si="4"/>
        <v>98.604900000000001</v>
      </c>
      <c r="L11" s="106"/>
      <c r="M11" s="106"/>
      <c r="N11" s="106"/>
      <c r="O11" s="106"/>
      <c r="P11" s="15"/>
      <c r="Q11" s="18"/>
    </row>
    <row r="12" spans="1:18" ht="19.5" thickBot="1" x14ac:dyDescent="0.35">
      <c r="A12" s="51">
        <v>20</v>
      </c>
      <c r="B12" s="29" t="s">
        <v>59</v>
      </c>
      <c r="C12" s="59">
        <v>1</v>
      </c>
      <c r="D12" s="107">
        <f>'Ведомость электропотребителей'!C21</f>
        <v>6</v>
      </c>
      <c r="E12" s="6">
        <f t="shared" si="0"/>
        <v>6</v>
      </c>
      <c r="F12" s="6">
        <f>'Ведомость электропотребителей'!H21</f>
        <v>0.65</v>
      </c>
      <c r="G12" s="6">
        <f>'Ведомость электропотребителей'!F11</f>
        <v>0.95</v>
      </c>
      <c r="H12" s="24">
        <f t="shared" si="1"/>
        <v>0.32868410517886321</v>
      </c>
      <c r="I12" s="24">
        <f t="shared" si="2"/>
        <v>3.9000000000000004</v>
      </c>
      <c r="J12" s="24">
        <f t="shared" si="3"/>
        <v>1.2818680101975666</v>
      </c>
      <c r="K12" s="24">
        <f t="shared" si="4"/>
        <v>36</v>
      </c>
      <c r="L12" s="107"/>
      <c r="M12" s="107"/>
      <c r="N12" s="107"/>
      <c r="O12" s="107"/>
      <c r="P12" s="16"/>
      <c r="Q12" s="14"/>
    </row>
    <row r="13" spans="1:18" ht="19.5" thickBot="1" x14ac:dyDescent="0.35">
      <c r="A13" s="52"/>
      <c r="B13" s="31" t="s">
        <v>146</v>
      </c>
      <c r="C13" s="60">
        <f>SUM(C4:C12)</f>
        <v>9</v>
      </c>
      <c r="D13" s="104">
        <f>SUM(D4:D12)</f>
        <v>61.12</v>
      </c>
      <c r="E13" s="104">
        <f>SUM(E4:E12)</f>
        <v>61.12</v>
      </c>
      <c r="F13" s="104">
        <f>AVERAGE(F4:F12)</f>
        <v>0.67444444444444462</v>
      </c>
      <c r="G13" s="25">
        <f>AVERAGE(G4:G12)</f>
        <v>0.95000000000000007</v>
      </c>
      <c r="H13" s="25">
        <f>TAN(ACOS(G13))</f>
        <v>0.32868410517886271</v>
      </c>
      <c r="I13" s="25">
        <f t="shared" si="2"/>
        <v>41.222044444444457</v>
      </c>
      <c r="J13" s="25">
        <f>I13*H13</f>
        <v>13.549030791865535</v>
      </c>
      <c r="K13" s="104">
        <f>SUM(K4:K12)</f>
        <v>473.73159999999996</v>
      </c>
      <c r="L13" s="30"/>
      <c r="M13" s="104">
        <f>M33</f>
        <v>1.1599999999999999</v>
      </c>
      <c r="N13" s="104">
        <f>I13*M13</f>
        <v>47.817571555555567</v>
      </c>
      <c r="O13" s="104">
        <f>J13*M13</f>
        <v>15.716875718564019</v>
      </c>
      <c r="P13" s="104">
        <f>SQRT(O13*O13+N13*N13)</f>
        <v>50.334285847953218</v>
      </c>
      <c r="Q13" s="105">
        <f>P13*1000/(380*SQRT(3))</f>
        <v>76.475035483640426</v>
      </c>
      <c r="R13">
        <f>I13/E13</f>
        <v>0.67444444444444462</v>
      </c>
    </row>
    <row r="14" spans="1:18" ht="19.5" thickBot="1" x14ac:dyDescent="0.35">
      <c r="A14" s="118" t="s">
        <v>135</v>
      </c>
      <c r="B14" s="119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20"/>
    </row>
    <row r="15" spans="1:18" x14ac:dyDescent="0.3">
      <c r="A15" s="32">
        <v>6</v>
      </c>
      <c r="B15" s="108" t="s">
        <v>55</v>
      </c>
      <c r="C15" s="56">
        <v>1</v>
      </c>
      <c r="D15" s="6">
        <f>'Ведомость электропотребителей'!C7</f>
        <v>11.1</v>
      </c>
      <c r="E15" s="6">
        <f>D15*C15</f>
        <v>11.1</v>
      </c>
      <c r="F15" s="6">
        <f>'Ведомость электропотребителей'!H7</f>
        <v>0.77</v>
      </c>
      <c r="G15" s="6">
        <v>0.95</v>
      </c>
      <c r="H15" s="6">
        <f>TAN(ACOS(G15))</f>
        <v>0.32868410517886321</v>
      </c>
      <c r="I15" s="6">
        <f>E15*F15</f>
        <v>8.5470000000000006</v>
      </c>
      <c r="J15" s="6">
        <f>I15*H15</f>
        <v>2.8092630469637441</v>
      </c>
      <c r="K15" s="6">
        <f>C15*D15*D15</f>
        <v>123.21</v>
      </c>
      <c r="L15" s="6"/>
      <c r="M15" s="6"/>
      <c r="N15" s="6"/>
      <c r="O15" s="6"/>
      <c r="P15" s="20"/>
      <c r="Q15" s="27"/>
    </row>
    <row r="16" spans="1:18" x14ac:dyDescent="0.3">
      <c r="A16" s="33">
        <v>11</v>
      </c>
      <c r="B16" s="28" t="s">
        <v>61</v>
      </c>
      <c r="C16" s="56">
        <v>1</v>
      </c>
      <c r="D16" s="106">
        <f>'Ведомость электропотребителей'!C12</f>
        <v>7.13</v>
      </c>
      <c r="E16" s="6">
        <f t="shared" ref="E16:E22" si="5">D16*C16</f>
        <v>7.13</v>
      </c>
      <c r="F16" s="106">
        <f>'Ведомость электропотребителей'!H12</f>
        <v>0.45</v>
      </c>
      <c r="G16" s="6">
        <v>0.95</v>
      </c>
      <c r="H16" s="6">
        <f t="shared" ref="H16:H22" si="6">TAN(ACOS(G16))</f>
        <v>0.32868410517886321</v>
      </c>
      <c r="I16" s="6">
        <f t="shared" ref="I16:I23" si="7">E16*F16</f>
        <v>3.2084999999999999</v>
      </c>
      <c r="J16" s="6">
        <f t="shared" ref="J16:J23" si="8">I16*H16</f>
        <v>1.0545829514663825</v>
      </c>
      <c r="K16" s="6">
        <f t="shared" ref="K16:K22" si="9">C16*D16*D16</f>
        <v>50.8369</v>
      </c>
      <c r="L16" s="106"/>
      <c r="M16" s="106"/>
      <c r="N16" s="106"/>
      <c r="O16" s="106"/>
      <c r="P16" s="15"/>
      <c r="Q16" s="18"/>
    </row>
    <row r="17" spans="1:18" x14ac:dyDescent="0.3">
      <c r="A17" s="33">
        <v>13</v>
      </c>
      <c r="B17" s="28" t="s">
        <v>51</v>
      </c>
      <c r="C17" s="56">
        <v>1</v>
      </c>
      <c r="D17" s="106">
        <f>'Ведомость электропотребителей'!C14</f>
        <v>7.3</v>
      </c>
      <c r="E17" s="6">
        <f t="shared" si="5"/>
        <v>7.3</v>
      </c>
      <c r="F17" s="6">
        <f>'Ведомость электропотребителей'!H14</f>
        <v>0.82</v>
      </c>
      <c r="G17" s="6">
        <v>0.95</v>
      </c>
      <c r="H17" s="6">
        <f t="shared" si="6"/>
        <v>0.32868410517886321</v>
      </c>
      <c r="I17" s="6">
        <f t="shared" si="7"/>
        <v>5.9859999999999998</v>
      </c>
      <c r="J17" s="6">
        <f t="shared" si="8"/>
        <v>1.967503053600675</v>
      </c>
      <c r="K17" s="6">
        <f t="shared" si="9"/>
        <v>53.29</v>
      </c>
      <c r="L17" s="106"/>
      <c r="M17" s="106"/>
      <c r="N17" s="106"/>
      <c r="O17" s="106"/>
      <c r="P17" s="15"/>
      <c r="Q17" s="18"/>
    </row>
    <row r="18" spans="1:18" x14ac:dyDescent="0.3">
      <c r="A18" s="33">
        <v>15</v>
      </c>
      <c r="B18" s="28" t="s">
        <v>61</v>
      </c>
      <c r="C18" s="56">
        <v>1</v>
      </c>
      <c r="D18" s="106">
        <f>'Ведомость электропотребителей'!C16</f>
        <v>4.13</v>
      </c>
      <c r="E18" s="6">
        <f t="shared" si="5"/>
        <v>4.13</v>
      </c>
      <c r="F18" s="106">
        <f>'Ведомость электропотребителей'!H16</f>
        <v>0.74</v>
      </c>
      <c r="G18" s="6">
        <v>0.95</v>
      </c>
      <c r="H18" s="6">
        <f t="shared" si="6"/>
        <v>0.32868410517886321</v>
      </c>
      <c r="I18" s="6">
        <f t="shared" si="7"/>
        <v>3.0562</v>
      </c>
      <c r="J18" s="6">
        <f t="shared" si="8"/>
        <v>1.0045243622476416</v>
      </c>
      <c r="K18" s="6">
        <f t="shared" si="9"/>
        <v>17.056899999999999</v>
      </c>
      <c r="L18" s="106"/>
      <c r="M18" s="106"/>
      <c r="N18" s="106"/>
      <c r="O18" s="106"/>
      <c r="P18" s="15"/>
      <c r="Q18" s="18"/>
    </row>
    <row r="19" spans="1:18" x14ac:dyDescent="0.3">
      <c r="A19" s="33">
        <v>16</v>
      </c>
      <c r="B19" s="28" t="s">
        <v>62</v>
      </c>
      <c r="C19" s="56">
        <v>1</v>
      </c>
      <c r="D19" s="106">
        <f>'Ведомость электропотребителей'!C17</f>
        <v>6.63</v>
      </c>
      <c r="E19" s="6">
        <f t="shared" si="5"/>
        <v>6.63</v>
      </c>
      <c r="F19" s="6">
        <f>'Ведомость электропотребителей'!H17</f>
        <v>0.81</v>
      </c>
      <c r="G19" s="6">
        <v>0.95</v>
      </c>
      <c r="H19" s="6">
        <f t="shared" si="6"/>
        <v>0.32868410517886321</v>
      </c>
      <c r="I19" s="6">
        <f t="shared" si="7"/>
        <v>5.3703000000000003</v>
      </c>
      <c r="J19" s="6">
        <f t="shared" si="8"/>
        <v>1.7651322500420492</v>
      </c>
      <c r="K19" s="6">
        <f t="shared" si="9"/>
        <v>43.956899999999997</v>
      </c>
      <c r="L19" s="106"/>
      <c r="M19" s="106"/>
      <c r="N19" s="106"/>
      <c r="O19" s="106"/>
      <c r="P19" s="15"/>
      <c r="Q19" s="18"/>
    </row>
    <row r="20" spans="1:18" x14ac:dyDescent="0.3">
      <c r="A20" s="33">
        <v>17</v>
      </c>
      <c r="B20" s="28" t="s">
        <v>62</v>
      </c>
      <c r="C20" s="56">
        <v>1</v>
      </c>
      <c r="D20" s="106">
        <f>'Ведомость электропотребителей'!C18</f>
        <v>6.23</v>
      </c>
      <c r="E20" s="6">
        <f t="shared" si="5"/>
        <v>6.23</v>
      </c>
      <c r="F20" s="106">
        <f>'Ведомость электропотребителей'!H18</f>
        <v>0.76</v>
      </c>
      <c r="G20" s="6">
        <v>0.95</v>
      </c>
      <c r="H20" s="6">
        <f t="shared" si="6"/>
        <v>0.32868410517886321</v>
      </c>
      <c r="I20" s="6">
        <f t="shared" si="7"/>
        <v>4.7348000000000008</v>
      </c>
      <c r="J20" s="6">
        <f t="shared" si="8"/>
        <v>1.5562535012008818</v>
      </c>
      <c r="K20" s="6">
        <f t="shared" si="9"/>
        <v>38.812900000000006</v>
      </c>
      <c r="L20" s="106"/>
      <c r="M20" s="106"/>
      <c r="N20" s="106"/>
      <c r="O20" s="106"/>
      <c r="P20" s="15"/>
      <c r="Q20" s="18"/>
    </row>
    <row r="21" spans="1:18" x14ac:dyDescent="0.3">
      <c r="A21" s="33">
        <v>18</v>
      </c>
      <c r="B21" s="28" t="s">
        <v>63</v>
      </c>
      <c r="C21" s="56">
        <v>1</v>
      </c>
      <c r="D21" s="106">
        <f>'Ведомость электропотребителей'!C19</f>
        <v>7</v>
      </c>
      <c r="E21" s="6">
        <f t="shared" si="5"/>
        <v>7</v>
      </c>
      <c r="F21" s="6">
        <f>'Ведомость электропотребителей'!H19</f>
        <v>0.55000000000000004</v>
      </c>
      <c r="G21" s="6">
        <v>0.95</v>
      </c>
      <c r="H21" s="6">
        <f t="shared" si="6"/>
        <v>0.32868410517886321</v>
      </c>
      <c r="I21" s="6">
        <f t="shared" si="7"/>
        <v>3.8500000000000005</v>
      </c>
      <c r="J21" s="6">
        <f t="shared" si="8"/>
        <v>1.2654338049386236</v>
      </c>
      <c r="K21" s="6">
        <f t="shared" si="9"/>
        <v>49</v>
      </c>
      <c r="L21" s="106"/>
      <c r="M21" s="106"/>
      <c r="N21" s="106"/>
      <c r="O21" s="106"/>
      <c r="P21" s="106"/>
      <c r="Q21" s="18"/>
    </row>
    <row r="22" spans="1:18" ht="19.5" thickBot="1" x14ac:dyDescent="0.35">
      <c r="A22" s="34">
        <v>19</v>
      </c>
      <c r="B22" s="29" t="s">
        <v>64</v>
      </c>
      <c r="C22" s="59">
        <v>1</v>
      </c>
      <c r="D22" s="107">
        <f>'Ведомость электропотребителей'!C20</f>
        <v>3.31</v>
      </c>
      <c r="E22" s="6">
        <f t="shared" si="5"/>
        <v>3.31</v>
      </c>
      <c r="F22" s="106">
        <f>'Ведомость электропотребителей'!H20</f>
        <v>0.4</v>
      </c>
      <c r="G22" s="6">
        <v>0.95</v>
      </c>
      <c r="H22" s="24">
        <f t="shared" si="6"/>
        <v>0.32868410517886321</v>
      </c>
      <c r="I22" s="24">
        <f t="shared" si="7"/>
        <v>1.3240000000000001</v>
      </c>
      <c r="J22" s="24">
        <f t="shared" si="8"/>
        <v>0.4351777552568149</v>
      </c>
      <c r="K22" s="6">
        <f t="shared" si="9"/>
        <v>10.956100000000001</v>
      </c>
      <c r="L22" s="107"/>
      <c r="M22" s="77"/>
      <c r="N22" s="77"/>
      <c r="O22" s="77"/>
      <c r="P22" s="77"/>
      <c r="Q22" s="134"/>
    </row>
    <row r="23" spans="1:18" ht="19.5" thickBot="1" x14ac:dyDescent="0.35">
      <c r="A23" s="31"/>
      <c r="B23" s="31" t="s">
        <v>147</v>
      </c>
      <c r="C23" s="60">
        <f>SUM(C15:C22)</f>
        <v>8</v>
      </c>
      <c r="D23" s="104">
        <f>SUM(D15:D22)</f>
        <v>52.83</v>
      </c>
      <c r="E23" s="104">
        <f>SUM(E15:E22)</f>
        <v>52.83</v>
      </c>
      <c r="F23" s="104">
        <f>AVERAGE(F15:F22)</f>
        <v>0.66250000000000009</v>
      </c>
      <c r="G23" s="25">
        <f>AVERAGE(G15:G22)</f>
        <v>0.95000000000000007</v>
      </c>
      <c r="H23" s="25">
        <f>TAN(ACOS(G23))</f>
        <v>0.32868410517886271</v>
      </c>
      <c r="I23" s="25">
        <f t="shared" si="7"/>
        <v>34.999875000000003</v>
      </c>
      <c r="J23" s="104">
        <f t="shared" si="8"/>
        <v>11.503902595747048</v>
      </c>
      <c r="K23" s="30">
        <f>SUM(K15:K22)</f>
        <v>387.11970000000002</v>
      </c>
      <c r="L23" s="104"/>
      <c r="M23" s="104">
        <f>M33</f>
        <v>1.1599999999999999</v>
      </c>
      <c r="N23" s="104">
        <f>I23*M23</f>
        <v>40.599854999999998</v>
      </c>
      <c r="O23" s="104">
        <f>J23*M23</f>
        <v>13.344527011066575</v>
      </c>
      <c r="P23" s="104">
        <f>SQRT(O23*O23+N23*N23)</f>
        <v>42.736689473684201</v>
      </c>
      <c r="Q23" s="105">
        <f>P23*1000/(380*SQRT(3))</f>
        <v>64.931682031329004</v>
      </c>
      <c r="R23">
        <f>I23/E23</f>
        <v>0.66250000000000009</v>
      </c>
    </row>
    <row r="24" spans="1:18" ht="19.5" thickBot="1" x14ac:dyDescent="0.35">
      <c r="A24" s="118" t="s">
        <v>46</v>
      </c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</row>
    <row r="25" spans="1:18" x14ac:dyDescent="0.3">
      <c r="A25" s="32">
        <v>1</v>
      </c>
      <c r="B25" s="108" t="s">
        <v>65</v>
      </c>
      <c r="C25" s="56">
        <v>1</v>
      </c>
      <c r="D25" s="6">
        <f>'Ведомость электропотребителей'!C2</f>
        <v>12.8</v>
      </c>
      <c r="E25" s="6">
        <f>D25*C25</f>
        <v>12.8</v>
      </c>
      <c r="F25" s="6">
        <v>0.3</v>
      </c>
      <c r="G25" s="6">
        <v>0.95</v>
      </c>
      <c r="H25" s="6">
        <f>TAN(ACOS(G25))</f>
        <v>0.32868410517886321</v>
      </c>
      <c r="I25" s="6">
        <f>E25*F25</f>
        <v>3.84</v>
      </c>
      <c r="J25" s="6">
        <f>I25*H25</f>
        <v>1.2621469638868346</v>
      </c>
      <c r="K25" s="6">
        <f>C25*D25*D25</f>
        <v>163.84000000000003</v>
      </c>
      <c r="L25" s="6"/>
      <c r="M25" s="6"/>
      <c r="N25" s="6"/>
      <c r="O25" s="6"/>
      <c r="P25" s="20"/>
      <c r="Q25" s="27"/>
    </row>
    <row r="26" spans="1:18" ht="19.5" thickBot="1" x14ac:dyDescent="0.35">
      <c r="A26" s="109"/>
      <c r="B26" s="109" t="s">
        <v>48</v>
      </c>
      <c r="C26" s="58">
        <f>SUM(C25)</f>
        <v>1</v>
      </c>
      <c r="D26" s="107">
        <f>SUM(D25)</f>
        <v>12.8</v>
      </c>
      <c r="E26" s="107">
        <f>SUM(E25)</f>
        <v>12.8</v>
      </c>
      <c r="F26" s="107">
        <f>AVERAGE(F25)</f>
        <v>0.3</v>
      </c>
      <c r="G26" s="6">
        <v>0.95</v>
      </c>
      <c r="H26" s="6">
        <f>TAN(ACOS(G26))</f>
        <v>0.32868410517886321</v>
      </c>
      <c r="I26" s="6">
        <f>E26*F26</f>
        <v>3.84</v>
      </c>
      <c r="J26" s="6">
        <f>I26*H26</f>
        <v>1.2621469638868346</v>
      </c>
      <c r="K26" s="107">
        <f>SUM(K25)</f>
        <v>163.84000000000003</v>
      </c>
      <c r="L26" s="107"/>
      <c r="M26" s="107">
        <f>M33</f>
        <v>1.1599999999999999</v>
      </c>
      <c r="N26" s="107">
        <f>I26*M26</f>
        <v>4.4543999999999997</v>
      </c>
      <c r="O26" s="107">
        <f>J26*M26</f>
        <v>1.4640904781087281</v>
      </c>
      <c r="P26" s="16">
        <f>SQRT(O26*O26+N26*N26)</f>
        <v>4.6888421052631575</v>
      </c>
      <c r="Q26" s="14">
        <f>P26*1000/(380*SQRT(3))</f>
        <v>7.1239585570035153</v>
      </c>
    </row>
    <row r="27" spans="1:18" ht="19.5" thickBot="1" x14ac:dyDescent="0.35">
      <c r="A27" s="118" t="s">
        <v>49</v>
      </c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20"/>
    </row>
    <row r="28" spans="1:18" x14ac:dyDescent="0.3">
      <c r="A28" s="32">
        <v>12</v>
      </c>
      <c r="B28" s="26" t="s">
        <v>66</v>
      </c>
      <c r="C28" s="61">
        <v>1</v>
      </c>
      <c r="D28" s="6">
        <f>'Ведомость электропотребителей'!C13</f>
        <v>11.8</v>
      </c>
      <c r="E28" s="6">
        <f>D28*C28</f>
        <v>11.8</v>
      </c>
      <c r="F28" s="6">
        <v>0.1</v>
      </c>
      <c r="G28" s="6">
        <v>0.95</v>
      </c>
      <c r="H28" s="6">
        <f>TAN(ACOS(G28))</f>
        <v>0.32868410517886321</v>
      </c>
      <c r="I28" s="6">
        <f>E28*F28</f>
        <v>1.1800000000000002</v>
      </c>
      <c r="J28" s="6">
        <f>I28*H28</f>
        <v>0.38784724411105864</v>
      </c>
      <c r="K28" s="6">
        <f>C28*D28*D28</f>
        <v>139.24</v>
      </c>
      <c r="L28" s="6"/>
      <c r="M28" s="6"/>
      <c r="N28" s="6"/>
      <c r="O28" s="6"/>
      <c r="P28" s="20"/>
      <c r="Q28" s="27"/>
    </row>
    <row r="29" spans="1:18" ht="19.5" thickBot="1" x14ac:dyDescent="0.35">
      <c r="A29" s="109"/>
      <c r="B29" s="110" t="s">
        <v>47</v>
      </c>
      <c r="C29" s="62">
        <f>SUM(C28)</f>
        <v>1</v>
      </c>
      <c r="D29" s="107">
        <f>SUM(D28)</f>
        <v>11.8</v>
      </c>
      <c r="E29" s="107">
        <f>SUM(E28)</f>
        <v>11.8</v>
      </c>
      <c r="F29" s="107">
        <f>AVERAGE(F28)</f>
        <v>0.1</v>
      </c>
      <c r="G29" s="6">
        <v>0.95</v>
      </c>
      <c r="H29" s="6">
        <f>TAN(ACOS(G29))</f>
        <v>0.32868410517886321</v>
      </c>
      <c r="I29" s="6">
        <f>E29*F29</f>
        <v>1.1800000000000002</v>
      </c>
      <c r="J29" s="6">
        <f>I29*H29</f>
        <v>0.38784724411105864</v>
      </c>
      <c r="K29" s="107">
        <f>SUM(K28)</f>
        <v>139.24</v>
      </c>
      <c r="L29" s="107"/>
      <c r="M29" s="107">
        <f>M33</f>
        <v>1.1599999999999999</v>
      </c>
      <c r="N29" s="107">
        <f>I29*M29</f>
        <v>1.3688</v>
      </c>
      <c r="O29" s="107">
        <f>J29*M29</f>
        <v>0.44990280316882797</v>
      </c>
      <c r="P29" s="16">
        <f>SQRT(O29*O29+N29*N29)</f>
        <v>1.4408421052631579</v>
      </c>
      <c r="Q29" s="14">
        <f>P29*1000/(380*SQRT(3))</f>
        <v>2.1891330982458723</v>
      </c>
    </row>
    <row r="30" spans="1:18" ht="19.5" thickBot="1" x14ac:dyDescent="0.35">
      <c r="A30" s="118" t="s">
        <v>50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20"/>
    </row>
    <row r="31" spans="1:18" x14ac:dyDescent="0.3">
      <c r="A31" s="32">
        <v>14</v>
      </c>
      <c r="B31" s="108" t="s">
        <v>65</v>
      </c>
      <c r="C31" s="56">
        <v>1</v>
      </c>
      <c r="D31" s="6">
        <f>'Ведомость электропотребителей'!C15</f>
        <v>12.8</v>
      </c>
      <c r="E31" s="6">
        <f>D31*C31</f>
        <v>12.8</v>
      </c>
      <c r="F31" s="6">
        <v>0.3</v>
      </c>
      <c r="G31" s="6">
        <v>0.95</v>
      </c>
      <c r="H31" s="6">
        <f>TAN(ACOS(G31))</f>
        <v>0.32868410517886321</v>
      </c>
      <c r="I31" s="6">
        <f>E31*F31</f>
        <v>3.84</v>
      </c>
      <c r="J31" s="6">
        <f>I31*H31</f>
        <v>1.2621469638868346</v>
      </c>
      <c r="K31" s="6">
        <f>C31*E31*E31</f>
        <v>163.84000000000003</v>
      </c>
      <c r="L31" s="6"/>
      <c r="M31" s="6"/>
      <c r="N31" s="6"/>
      <c r="O31" s="6"/>
      <c r="P31" s="20"/>
      <c r="Q31" s="27"/>
    </row>
    <row r="32" spans="1:18" ht="19.5" thickBot="1" x14ac:dyDescent="0.35">
      <c r="A32" s="29"/>
      <c r="B32" s="29" t="s">
        <v>47</v>
      </c>
      <c r="C32" s="58">
        <f>SUM(C31)</f>
        <v>1</v>
      </c>
      <c r="D32" s="107">
        <f>SUM(D31)</f>
        <v>12.8</v>
      </c>
      <c r="E32" s="107">
        <f>SUM(E31)</f>
        <v>12.8</v>
      </c>
      <c r="F32" s="107">
        <f>AVERAGE(F31)</f>
        <v>0.3</v>
      </c>
      <c r="G32" s="6">
        <v>0.95</v>
      </c>
      <c r="H32" s="6">
        <f>TAN(ACOS(G32))</f>
        <v>0.32868410517886321</v>
      </c>
      <c r="I32" s="24">
        <f t="shared" ref="I32:I33" si="10">E32*F32</f>
        <v>3.84</v>
      </c>
      <c r="J32" s="24">
        <f t="shared" ref="J32:J33" si="11">I32*H32</f>
        <v>1.2621469638868346</v>
      </c>
      <c r="K32" s="107">
        <f>SUM(K31)</f>
        <v>163.84000000000003</v>
      </c>
      <c r="L32" s="107"/>
      <c r="M32" s="107">
        <f>M33</f>
        <v>1.1599999999999999</v>
      </c>
      <c r="N32" s="107">
        <f>I32*M32</f>
        <v>4.4543999999999997</v>
      </c>
      <c r="O32" s="107">
        <f>J32*M32</f>
        <v>1.4640904781087281</v>
      </c>
      <c r="P32" s="16">
        <f>SQRT(O32*O32+N32*N32)</f>
        <v>4.6888421052631575</v>
      </c>
      <c r="Q32" s="14">
        <f>P32*1000/(380*SQRT(3))</f>
        <v>7.1239585570035153</v>
      </c>
    </row>
    <row r="33" spans="1:18" ht="19.5" thickBot="1" x14ac:dyDescent="0.35">
      <c r="A33" s="31" t="s">
        <v>73</v>
      </c>
      <c r="B33" s="31"/>
      <c r="C33" s="60">
        <f>SUM(C32,C29,C23,C13,C26)</f>
        <v>20</v>
      </c>
      <c r="D33" s="104">
        <f>SUM(D32,D29,D26,D23,D13)</f>
        <v>151.35</v>
      </c>
      <c r="E33" s="104">
        <f>SUM(E32,E29,E26,E23,E13)</f>
        <v>151.35</v>
      </c>
      <c r="F33" s="104">
        <f>AVERAGE(F32,F29,F26,F15:F22,F4:F12)</f>
        <v>0.60349999999999993</v>
      </c>
      <c r="G33" s="104">
        <f>AVERAGE(G32,G29,G26,G15:G22,G4:G12)</f>
        <v>0.94999999999999962</v>
      </c>
      <c r="H33" s="25">
        <f>AVERAGE(H32,H29,H26,H15:H22,H4:H12)</f>
        <v>0.32868410517886315</v>
      </c>
      <c r="I33" s="25">
        <f t="shared" si="10"/>
        <v>91.339724999999987</v>
      </c>
      <c r="J33" s="104">
        <f t="shared" si="11"/>
        <v>30.021915778908433</v>
      </c>
      <c r="K33" s="30">
        <f>SUM(K32,K29,K26,K23,K13)</f>
        <v>1327.7712999999999</v>
      </c>
      <c r="L33" s="93">
        <f>_xlfn.FLOOR.MATH(E33*E33/K33)</f>
        <v>17</v>
      </c>
      <c r="M33" s="104">
        <v>1.1599999999999999</v>
      </c>
      <c r="N33" s="104">
        <f>I33*M33</f>
        <v>105.95408099999997</v>
      </c>
      <c r="O33" s="104">
        <f>J33*M33</f>
        <v>34.825422303533777</v>
      </c>
      <c r="P33" s="104">
        <f>SQRT(O33*O33+N33*N33)</f>
        <v>111.53061157894734</v>
      </c>
      <c r="Q33" s="105">
        <f>P33*1000/(380*SQRT(3))</f>
        <v>169.4532332052338</v>
      </c>
      <c r="R33">
        <f>I33/E33</f>
        <v>0.60349999999999993</v>
      </c>
    </row>
    <row r="34" spans="1:18" ht="19.5" thickBot="1" x14ac:dyDescent="0.35">
      <c r="A34" s="115" t="s">
        <v>67</v>
      </c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7"/>
    </row>
    <row r="35" spans="1:18" x14ac:dyDescent="0.3">
      <c r="A35" s="4"/>
      <c r="B35" s="39" t="s">
        <v>68</v>
      </c>
      <c r="C35" s="56">
        <f>'Расчет освещения'!G3</f>
        <v>25</v>
      </c>
      <c r="D35" s="53">
        <v>8.9999999999999993E-3</v>
      </c>
      <c r="E35" s="6">
        <f>C35*D35</f>
        <v>0.22499999999999998</v>
      </c>
      <c r="F35" s="6">
        <v>0.7</v>
      </c>
      <c r="G35" s="6">
        <v>0.98</v>
      </c>
      <c r="H35" s="6">
        <f>TAN(ACOS(G35))</f>
        <v>0.20305866063400418</v>
      </c>
      <c r="I35" s="6">
        <f>E35*F35</f>
        <v>0.15749999999999997</v>
      </c>
      <c r="J35" s="6">
        <f>I35*H35</f>
        <v>3.1981739049855656E-2</v>
      </c>
      <c r="K35" s="6"/>
      <c r="L35" s="6"/>
      <c r="M35" s="6"/>
      <c r="N35" s="6"/>
      <c r="O35" s="6"/>
      <c r="P35" s="6"/>
      <c r="Q35" s="21"/>
    </row>
    <row r="36" spans="1:18" x14ac:dyDescent="0.3">
      <c r="A36" s="2"/>
      <c r="B36" s="2" t="s">
        <v>69</v>
      </c>
      <c r="C36" s="57">
        <f>'Расчет освещения'!G4</f>
        <v>10</v>
      </c>
      <c r="D36" s="54">
        <v>8.9999999999999993E-3</v>
      </c>
      <c r="E36" s="6">
        <f t="shared" ref="E36:E38" si="12">C36*D36</f>
        <v>0.09</v>
      </c>
      <c r="F36" s="6">
        <v>0.7</v>
      </c>
      <c r="G36" s="6">
        <v>0.98</v>
      </c>
      <c r="H36" s="6">
        <f t="shared" ref="H36:H38" si="13">TAN(ACOS(G36))</f>
        <v>0.20305866063400418</v>
      </c>
      <c r="I36" s="6">
        <f t="shared" ref="I36:I38" si="14">E36*F36</f>
        <v>6.3E-2</v>
      </c>
      <c r="J36" s="6">
        <f t="shared" ref="J36:J40" si="15">I36*H36</f>
        <v>1.2792695619942264E-2</v>
      </c>
      <c r="K36" s="106"/>
      <c r="L36" s="106"/>
      <c r="M36" s="106"/>
      <c r="N36" s="106"/>
      <c r="O36" s="106"/>
      <c r="P36" s="106"/>
      <c r="Q36" s="18"/>
    </row>
    <row r="37" spans="1:18" x14ac:dyDescent="0.3">
      <c r="A37" s="2"/>
      <c r="B37" s="2" t="s">
        <v>70</v>
      </c>
      <c r="C37" s="57">
        <v>48</v>
      </c>
      <c r="D37" s="54">
        <v>7.0000000000000007E-2</v>
      </c>
      <c r="E37" s="6">
        <f t="shared" si="12"/>
        <v>3.3600000000000003</v>
      </c>
      <c r="F37" s="6">
        <v>0.7</v>
      </c>
      <c r="G37" s="6">
        <v>0.98</v>
      </c>
      <c r="H37" s="6">
        <f t="shared" si="13"/>
        <v>0.20305866063400418</v>
      </c>
      <c r="I37" s="6">
        <f t="shared" si="14"/>
        <v>2.3519999999999999</v>
      </c>
      <c r="J37" s="6">
        <f t="shared" si="15"/>
        <v>0.4775939698111778</v>
      </c>
      <c r="K37" s="106"/>
      <c r="L37" s="106"/>
      <c r="M37" s="106"/>
      <c r="N37" s="106"/>
      <c r="O37" s="106"/>
      <c r="P37" s="106"/>
      <c r="Q37" s="18"/>
    </row>
    <row r="38" spans="1:18" ht="19.5" thickBot="1" x14ac:dyDescent="0.35">
      <c r="A38" s="40"/>
      <c r="B38" s="3" t="s">
        <v>71</v>
      </c>
      <c r="C38" s="58">
        <f>'Расчет освещения'!G5</f>
        <v>3</v>
      </c>
      <c r="D38" s="55">
        <v>8.9999999999999993E-3</v>
      </c>
      <c r="E38" s="6">
        <f t="shared" si="12"/>
        <v>2.6999999999999996E-2</v>
      </c>
      <c r="F38" s="6">
        <v>0.7</v>
      </c>
      <c r="G38" s="6">
        <v>0.98</v>
      </c>
      <c r="H38" s="6">
        <f t="shared" si="13"/>
        <v>0.20305866063400418</v>
      </c>
      <c r="I38" s="6">
        <f t="shared" si="14"/>
        <v>1.8899999999999997E-2</v>
      </c>
      <c r="J38" s="6">
        <f t="shared" si="15"/>
        <v>3.8378086859826785E-3</v>
      </c>
      <c r="K38" s="107"/>
      <c r="L38" s="107"/>
      <c r="M38" s="107"/>
      <c r="N38" s="107"/>
      <c r="O38" s="107"/>
      <c r="P38" s="107"/>
      <c r="Q38" s="19"/>
    </row>
    <row r="39" spans="1:18" ht="19.5" thickBot="1" x14ac:dyDescent="0.35">
      <c r="A39" s="7" t="s">
        <v>72</v>
      </c>
      <c r="B39" s="7"/>
      <c r="C39" s="95">
        <f>SUM(C35:C38)</f>
        <v>86</v>
      </c>
      <c r="D39" s="72"/>
      <c r="E39" s="94">
        <f>SUM(E35:E38)</f>
        <v>3.7020000000000004</v>
      </c>
      <c r="F39" s="94">
        <f>AVERAGE(F35:F38)</f>
        <v>0.7</v>
      </c>
      <c r="G39" s="94">
        <f>AVERAGE(G35:G38)</f>
        <v>0.98</v>
      </c>
      <c r="H39" s="94">
        <f>AVERAGE(H35:H38)</f>
        <v>0.20305866063400418</v>
      </c>
      <c r="I39" s="94">
        <f>SUM(I35:I38)</f>
        <v>2.5913999999999997</v>
      </c>
      <c r="J39" s="94">
        <f t="shared" si="15"/>
        <v>0.52620621316695837</v>
      </c>
      <c r="K39" s="94"/>
      <c r="L39" s="94"/>
      <c r="M39" s="94"/>
      <c r="N39" s="94">
        <f>I39</f>
        <v>2.5913999999999997</v>
      </c>
      <c r="O39" s="94">
        <f>J39</f>
        <v>0.52620621316695837</v>
      </c>
      <c r="P39" s="94">
        <f>SQRT(N39*N39+O39*O39)</f>
        <v>2.6442857142857141</v>
      </c>
      <c r="Q39" s="96">
        <f>P39*1000/(220*SQRT(3))</f>
        <v>6.9394503134415411</v>
      </c>
    </row>
    <row r="40" spans="1:18" ht="19.5" thickBot="1" x14ac:dyDescent="0.35">
      <c r="A40" s="7" t="s">
        <v>47</v>
      </c>
      <c r="B40" s="7"/>
      <c r="C40" s="97">
        <f>C39+C33</f>
        <v>106</v>
      </c>
      <c r="D40" s="9"/>
      <c r="E40" s="104">
        <f>SUM(E39,E33)</f>
        <v>155.05199999999999</v>
      </c>
      <c r="F40" s="9"/>
      <c r="G40" s="98">
        <f>(G39*E39+G33*E33)/(E33+E39)</f>
        <v>0.95071627583004381</v>
      </c>
      <c r="H40" s="98">
        <f>(H39*E39+H33*E33)/(E33+E39)</f>
        <v>0.32568468952666219</v>
      </c>
      <c r="I40" s="98">
        <f>I39+I33</f>
        <v>93.93112499999998</v>
      </c>
      <c r="J40" s="104">
        <f t="shared" si="15"/>
        <v>30.591929282515089</v>
      </c>
      <c r="K40" s="104"/>
      <c r="L40" s="104"/>
      <c r="M40" s="104"/>
      <c r="N40" s="104">
        <f>N39+N33</f>
        <v>108.54548099999997</v>
      </c>
      <c r="O40" s="104">
        <f>O39+O33</f>
        <v>35.351628516700735</v>
      </c>
      <c r="P40" s="104">
        <f>SQRT(O40*O40+N40*N40)</f>
        <v>114.15716834392907</v>
      </c>
      <c r="Q40" s="105">
        <f>P40*1000/(380*SQRT(3))</f>
        <v>173.44387335077076</v>
      </c>
    </row>
  </sheetData>
  <mergeCells count="22">
    <mergeCell ref="A34:Q34"/>
    <mergeCell ref="A24:Q24"/>
    <mergeCell ref="A27:Q27"/>
    <mergeCell ref="A30:Q30"/>
    <mergeCell ref="N1:N2"/>
    <mergeCell ref="O1:O2"/>
    <mergeCell ref="P1:P2"/>
    <mergeCell ref="Q1:Q2"/>
    <mergeCell ref="A3:Q3"/>
    <mergeCell ref="A14:Q14"/>
    <mergeCell ref="H1:H2"/>
    <mergeCell ref="I1:I2"/>
    <mergeCell ref="J1:J2"/>
    <mergeCell ref="K1:K2"/>
    <mergeCell ref="L1:L2"/>
    <mergeCell ref="M1:M2"/>
    <mergeCell ref="G1:G2"/>
    <mergeCell ref="A1:A2"/>
    <mergeCell ref="B1:B2"/>
    <mergeCell ref="C1:C2"/>
    <mergeCell ref="D1:E1"/>
    <mergeCell ref="F1:F2"/>
  </mergeCells>
  <pageMargins left="0.7" right="0.7" top="0.75" bottom="0.75" header="0.3" footer="0.3"/>
  <pageSetup paperSize="9" orientation="portrait" r:id="rId1"/>
  <ignoredErrors>
    <ignoredError sqref="P4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K10" sqref="K10"/>
    </sheetView>
  </sheetViews>
  <sheetFormatPr defaultRowHeight="18.75" x14ac:dyDescent="0.3"/>
  <cols>
    <col min="1" max="1" width="18.44140625" bestFit="1" customWidth="1"/>
  </cols>
  <sheetData>
    <row r="1" spans="1:7" ht="19.5" thickBot="1" x14ac:dyDescent="0.35">
      <c r="A1" s="7"/>
      <c r="B1" s="8" t="s">
        <v>74</v>
      </c>
      <c r="C1" s="9" t="s">
        <v>75</v>
      </c>
      <c r="D1" s="9" t="s">
        <v>76</v>
      </c>
      <c r="E1" s="9" t="s">
        <v>77</v>
      </c>
      <c r="F1" s="22" t="s">
        <v>78</v>
      </c>
      <c r="G1" s="10" t="s">
        <v>79</v>
      </c>
    </row>
    <row r="2" spans="1:7" x14ac:dyDescent="0.3">
      <c r="A2" s="4" t="s">
        <v>70</v>
      </c>
      <c r="B2" s="37">
        <v>250</v>
      </c>
      <c r="C2" s="36">
        <v>551</v>
      </c>
      <c r="D2" s="36">
        <v>1.65</v>
      </c>
      <c r="E2" s="36">
        <v>0.56000000000000005</v>
      </c>
      <c r="F2" s="47">
        <v>2.13</v>
      </c>
      <c r="G2" s="42" t="s">
        <v>173</v>
      </c>
    </row>
    <row r="3" spans="1:7" x14ac:dyDescent="0.3">
      <c r="A3" s="2" t="s">
        <v>68</v>
      </c>
      <c r="B3" s="38">
        <v>300</v>
      </c>
      <c r="C3" s="35">
        <v>30</v>
      </c>
      <c r="D3" s="36">
        <v>1.65</v>
      </c>
      <c r="E3" s="35">
        <v>0.49</v>
      </c>
      <c r="F3" s="48">
        <v>1.6</v>
      </c>
      <c r="G3" s="41">
        <v>25</v>
      </c>
    </row>
    <row r="4" spans="1:7" x14ac:dyDescent="0.3">
      <c r="A4" s="2" t="s">
        <v>69</v>
      </c>
      <c r="B4" s="38">
        <v>100</v>
      </c>
      <c r="C4" s="35">
        <v>33</v>
      </c>
      <c r="D4" s="36">
        <v>1.65</v>
      </c>
      <c r="E4" s="35">
        <v>0.49</v>
      </c>
      <c r="F4" s="48">
        <v>1.6</v>
      </c>
      <c r="G4" s="41">
        <v>10</v>
      </c>
    </row>
    <row r="5" spans="1:7" ht="19.5" thickBot="1" x14ac:dyDescent="0.35">
      <c r="A5" s="3" t="s">
        <v>71</v>
      </c>
      <c r="B5" s="43">
        <v>100</v>
      </c>
      <c r="C5" s="44">
        <v>9</v>
      </c>
      <c r="D5" s="44">
        <v>1.65</v>
      </c>
      <c r="E5" s="44">
        <v>0.39</v>
      </c>
      <c r="F5" s="46">
        <v>0.9</v>
      </c>
      <c r="G5" s="45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zoomScale="50" zoomScaleNormal="50" workbookViewId="0">
      <selection activeCell="H28" sqref="H28"/>
    </sheetView>
  </sheetViews>
  <sheetFormatPr defaultRowHeight="18.75" x14ac:dyDescent="0.3"/>
  <cols>
    <col min="1" max="1" width="10" bestFit="1" customWidth="1"/>
    <col min="2" max="2" width="35.77734375" bestFit="1" customWidth="1"/>
    <col min="5" max="5" width="13.109375" bestFit="1" customWidth="1"/>
    <col min="6" max="6" width="13.88671875" bestFit="1" customWidth="1"/>
    <col min="7" max="7" width="11.77734375" bestFit="1" customWidth="1"/>
    <col min="8" max="8" width="12" bestFit="1" customWidth="1"/>
    <col min="9" max="9" width="14.77734375" bestFit="1" customWidth="1"/>
    <col min="10" max="10" width="12.44140625" bestFit="1" customWidth="1"/>
    <col min="11" max="11" width="9.21875" customWidth="1"/>
    <col min="12" max="12" width="19.5546875" bestFit="1" customWidth="1"/>
    <col min="13" max="13" width="27.5546875" bestFit="1" customWidth="1"/>
  </cols>
  <sheetData>
    <row r="1" spans="1:15" ht="19.5" thickBot="1" x14ac:dyDescent="0.35">
      <c r="A1" s="78" t="s">
        <v>94</v>
      </c>
      <c r="B1" s="71" t="s">
        <v>93</v>
      </c>
      <c r="C1" s="72" t="s">
        <v>4</v>
      </c>
      <c r="D1" s="72" t="s">
        <v>81</v>
      </c>
      <c r="E1" s="72" t="s">
        <v>80</v>
      </c>
      <c r="F1" s="72" t="s">
        <v>82</v>
      </c>
      <c r="G1" s="72" t="s">
        <v>84</v>
      </c>
      <c r="H1" s="72" t="s">
        <v>83</v>
      </c>
      <c r="I1" s="72" t="s">
        <v>85</v>
      </c>
      <c r="J1" s="72" t="s">
        <v>86</v>
      </c>
      <c r="K1" s="72" t="s">
        <v>87</v>
      </c>
      <c r="L1" s="72" t="s">
        <v>88</v>
      </c>
      <c r="M1" s="72" t="s">
        <v>89</v>
      </c>
      <c r="N1" s="73" t="s">
        <v>90</v>
      </c>
      <c r="O1" s="69"/>
    </row>
    <row r="2" spans="1:15" ht="19.5" thickBot="1" x14ac:dyDescent="0.35">
      <c r="A2" s="115" t="s">
        <v>134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7"/>
      <c r="O2" s="69"/>
    </row>
    <row r="3" spans="1:15" x14ac:dyDescent="0.3">
      <c r="A3" s="49">
        <v>2</v>
      </c>
      <c r="B3" s="65" t="s">
        <v>51</v>
      </c>
      <c r="C3" s="26">
        <f>'Ведомость электропотребителей'!E3</f>
        <v>11.403067643551335</v>
      </c>
      <c r="D3" s="6">
        <f>'Ведомость электропотребителей'!J3</f>
        <v>79.821473504859341</v>
      </c>
      <c r="E3" s="6">
        <f>C3/0.85</f>
        <v>13.415373698295689</v>
      </c>
      <c r="F3" s="61">
        <v>25</v>
      </c>
      <c r="G3" s="6">
        <f>D3*1.25</f>
        <v>99.776841881074176</v>
      </c>
      <c r="H3" s="61">
        <f>'Ведомость электропотребителей'!I3*'Выбор защиты'!F3</f>
        <v>175</v>
      </c>
      <c r="I3" s="61">
        <v>1</v>
      </c>
      <c r="J3" s="61">
        <f>F3</f>
        <v>25</v>
      </c>
      <c r="K3" s="61">
        <v>104</v>
      </c>
      <c r="L3" s="6" t="s">
        <v>136</v>
      </c>
      <c r="M3" s="6" t="s">
        <v>140</v>
      </c>
      <c r="N3" s="91">
        <f>K3</f>
        <v>104</v>
      </c>
      <c r="O3" s="69"/>
    </row>
    <row r="4" spans="1:15" x14ac:dyDescent="0.3">
      <c r="A4" s="50">
        <v>3</v>
      </c>
      <c r="B4" s="28" t="s">
        <v>52</v>
      </c>
      <c r="C4" s="67">
        <f>'Ведомость электропотребителей'!E4</f>
        <v>7.9965411245100526</v>
      </c>
      <c r="D4" s="63">
        <f>'Ведомость электропотребителей'!J4</f>
        <v>55.975787871570368</v>
      </c>
      <c r="E4" s="6">
        <f t="shared" ref="E4:E12" si="0">C4/0.85</f>
        <v>9.4076954406000617</v>
      </c>
      <c r="F4" s="82">
        <v>16</v>
      </c>
      <c r="G4" s="6">
        <f t="shared" ref="G4:G11" si="1">D4*1.25</f>
        <v>69.969734839462959</v>
      </c>
      <c r="H4" s="82">
        <f>'Ведомость электропотребителей'!I3*F4</f>
        <v>112</v>
      </c>
      <c r="I4" s="61">
        <v>1</v>
      </c>
      <c r="J4" s="61">
        <f t="shared" ref="J4:J12" si="2">F4</f>
        <v>16</v>
      </c>
      <c r="K4" s="61">
        <v>104</v>
      </c>
      <c r="L4" s="6" t="s">
        <v>136</v>
      </c>
      <c r="M4" s="63" t="s">
        <v>141</v>
      </c>
      <c r="N4" s="91">
        <f t="shared" ref="N4:N12" si="3">K4</f>
        <v>104</v>
      </c>
      <c r="O4" s="69"/>
    </row>
    <row r="5" spans="1:15" x14ac:dyDescent="0.3">
      <c r="A5" s="50">
        <v>4</v>
      </c>
      <c r="B5" s="28" t="s">
        <v>133</v>
      </c>
      <c r="C5" s="67">
        <f>'Ведомость электропотребителей'!E6</f>
        <v>12.842445045963144</v>
      </c>
      <c r="D5" s="6">
        <f>'Ведомость электропотребителей'!J6</f>
        <v>89.897115321742007</v>
      </c>
      <c r="E5" s="6">
        <f t="shared" si="0"/>
        <v>15.1087588776037</v>
      </c>
      <c r="F5" s="82">
        <v>32</v>
      </c>
      <c r="G5" s="6">
        <f t="shared" si="1"/>
        <v>112.37139415217752</v>
      </c>
      <c r="H5" s="82">
        <f>'Ведомость электропотребителей'!I5*F5</f>
        <v>224</v>
      </c>
      <c r="I5" s="61">
        <v>1</v>
      </c>
      <c r="J5" s="61">
        <f t="shared" si="2"/>
        <v>32</v>
      </c>
      <c r="K5" s="61">
        <v>104</v>
      </c>
      <c r="L5" s="6" t="s">
        <v>136</v>
      </c>
      <c r="M5" s="63" t="s">
        <v>142</v>
      </c>
      <c r="N5" s="91">
        <f t="shared" si="3"/>
        <v>104</v>
      </c>
      <c r="O5" s="69"/>
    </row>
    <row r="6" spans="1:15" x14ac:dyDescent="0.3">
      <c r="A6" s="50">
        <v>5</v>
      </c>
      <c r="B6" s="28" t="s">
        <v>54</v>
      </c>
      <c r="C6" s="67">
        <f>'Ведомость электропотребителей'!E7</f>
        <v>17.752321296412315</v>
      </c>
      <c r="D6" s="63">
        <f>'Ведомость электропотребителей'!J7</f>
        <v>88.76160648206158</v>
      </c>
      <c r="E6" s="6">
        <f t="shared" si="0"/>
        <v>20.885083878132136</v>
      </c>
      <c r="F6" s="82">
        <v>32</v>
      </c>
      <c r="G6" s="6">
        <f t="shared" si="1"/>
        <v>110.95200810257697</v>
      </c>
      <c r="H6" s="82">
        <f>F6*7</f>
        <v>224</v>
      </c>
      <c r="I6" s="61">
        <v>1</v>
      </c>
      <c r="J6" s="61">
        <f t="shared" si="2"/>
        <v>32</v>
      </c>
      <c r="K6" s="61">
        <v>104</v>
      </c>
      <c r="L6" s="6" t="s">
        <v>136</v>
      </c>
      <c r="M6" s="63" t="s">
        <v>142</v>
      </c>
      <c r="N6" s="91">
        <f t="shared" si="3"/>
        <v>104</v>
      </c>
      <c r="O6" s="69"/>
    </row>
    <row r="7" spans="1:15" x14ac:dyDescent="0.3">
      <c r="A7" s="50">
        <v>10</v>
      </c>
      <c r="B7" s="28" t="s">
        <v>60</v>
      </c>
      <c r="C7" s="67">
        <f>'Ведомость электропотребителей'!E11</f>
        <v>3.518478094784423</v>
      </c>
      <c r="D7" s="6">
        <f>'Ведомость электропотребителей'!J11</f>
        <v>24.62934666349096</v>
      </c>
      <c r="E7" s="6">
        <f t="shared" si="0"/>
        <v>4.1393859938640274</v>
      </c>
      <c r="F7" s="82">
        <v>16</v>
      </c>
      <c r="G7" s="6">
        <f t="shared" si="1"/>
        <v>30.786683329363701</v>
      </c>
      <c r="H7" s="82">
        <f t="shared" ref="H7:H12" si="4">7*F7</f>
        <v>112</v>
      </c>
      <c r="I7" s="61">
        <v>1</v>
      </c>
      <c r="J7" s="61">
        <f t="shared" si="2"/>
        <v>16</v>
      </c>
      <c r="K7" s="61">
        <v>104</v>
      </c>
      <c r="L7" s="6" t="s">
        <v>136</v>
      </c>
      <c r="M7" s="63" t="s">
        <v>141</v>
      </c>
      <c r="N7" s="91">
        <f t="shared" si="3"/>
        <v>104</v>
      </c>
      <c r="O7" s="69"/>
    </row>
    <row r="8" spans="1:15" x14ac:dyDescent="0.3">
      <c r="A8" s="50">
        <v>7</v>
      </c>
      <c r="B8" s="28" t="s">
        <v>57</v>
      </c>
      <c r="C8" s="67">
        <f>'Ведомость электропотребителей'!E8</f>
        <v>14.121891625884754</v>
      </c>
      <c r="D8" s="63">
        <f>'Ведомость электропотребителей'!J8</f>
        <v>98.853241381193271</v>
      </c>
      <c r="E8" s="6">
        <f t="shared" si="0"/>
        <v>16.61399014809971</v>
      </c>
      <c r="F8" s="82">
        <v>25</v>
      </c>
      <c r="G8" s="6">
        <f t="shared" si="1"/>
        <v>123.56655172649158</v>
      </c>
      <c r="H8" s="82">
        <f t="shared" si="4"/>
        <v>175</v>
      </c>
      <c r="I8" s="61">
        <v>1</v>
      </c>
      <c r="J8" s="61">
        <f t="shared" si="2"/>
        <v>25</v>
      </c>
      <c r="K8" s="61">
        <v>104</v>
      </c>
      <c r="L8" s="6" t="s">
        <v>136</v>
      </c>
      <c r="M8" s="63" t="s">
        <v>140</v>
      </c>
      <c r="N8" s="91">
        <f t="shared" si="3"/>
        <v>104</v>
      </c>
      <c r="O8" s="69"/>
    </row>
    <row r="9" spans="1:15" x14ac:dyDescent="0.3">
      <c r="A9" s="50">
        <v>8</v>
      </c>
      <c r="B9" s="28" t="s">
        <v>58</v>
      </c>
      <c r="C9" s="67">
        <f>'Ведомость электропотребителей'!E9</f>
        <v>15.993082249020105</v>
      </c>
      <c r="D9" s="6">
        <f>'Ведомость электропотребителей'!J9</f>
        <v>111.95157574314074</v>
      </c>
      <c r="E9" s="6">
        <f t="shared" si="0"/>
        <v>18.815390881200123</v>
      </c>
      <c r="F9" s="82">
        <v>25</v>
      </c>
      <c r="G9" s="6">
        <f t="shared" si="1"/>
        <v>139.93946967892592</v>
      </c>
      <c r="H9" s="82">
        <f t="shared" si="4"/>
        <v>175</v>
      </c>
      <c r="I9" s="61">
        <v>1</v>
      </c>
      <c r="J9" s="61">
        <f t="shared" si="2"/>
        <v>25</v>
      </c>
      <c r="K9" s="61">
        <v>104</v>
      </c>
      <c r="L9" s="6" t="s">
        <v>136</v>
      </c>
      <c r="M9" s="63" t="s">
        <v>140</v>
      </c>
      <c r="N9" s="91">
        <f t="shared" si="3"/>
        <v>104</v>
      </c>
      <c r="O9" s="69"/>
    </row>
    <row r="10" spans="1:15" x14ac:dyDescent="0.3">
      <c r="A10" s="50">
        <v>9</v>
      </c>
      <c r="B10" s="28" t="s">
        <v>92</v>
      </c>
      <c r="C10" s="67">
        <f>'Ведомость электропотребителей'!E10</f>
        <v>15.881130673276962</v>
      </c>
      <c r="D10" s="63">
        <f>'Ведомость электропотребителей'!J10</f>
        <v>111.16791471293874</v>
      </c>
      <c r="E10" s="6">
        <f t="shared" si="0"/>
        <v>18.683683145031722</v>
      </c>
      <c r="F10" s="82">
        <v>25</v>
      </c>
      <c r="G10" s="6">
        <f t="shared" si="1"/>
        <v>138.95989339117341</v>
      </c>
      <c r="H10" s="82">
        <f t="shared" si="4"/>
        <v>175</v>
      </c>
      <c r="I10" s="61">
        <v>1</v>
      </c>
      <c r="J10" s="61">
        <f t="shared" si="2"/>
        <v>25</v>
      </c>
      <c r="K10" s="61">
        <v>104</v>
      </c>
      <c r="L10" s="6" t="s">
        <v>136</v>
      </c>
      <c r="M10" s="63" t="s">
        <v>140</v>
      </c>
      <c r="N10" s="91">
        <f t="shared" si="3"/>
        <v>104</v>
      </c>
      <c r="O10" s="69"/>
    </row>
    <row r="11" spans="1:15" x14ac:dyDescent="0.3">
      <c r="A11" s="51">
        <v>20</v>
      </c>
      <c r="B11" s="29" t="s">
        <v>92</v>
      </c>
      <c r="C11" s="68">
        <f>'Ведомость электропотребителей'!E21</f>
        <v>9.5958493494120631</v>
      </c>
      <c r="D11" s="24">
        <f>'Ведомость электропотребителей'!J21</f>
        <v>67.170945445884442</v>
      </c>
      <c r="E11" s="6">
        <f t="shared" si="0"/>
        <v>11.289234528720074</v>
      </c>
      <c r="F11" s="62">
        <v>25</v>
      </c>
      <c r="G11" s="6">
        <f t="shared" si="1"/>
        <v>83.963681807355556</v>
      </c>
      <c r="H11" s="62">
        <f t="shared" si="4"/>
        <v>175</v>
      </c>
      <c r="I11" s="61">
        <v>1</v>
      </c>
      <c r="J11" s="61">
        <f t="shared" si="2"/>
        <v>25</v>
      </c>
      <c r="K11" s="61">
        <v>104</v>
      </c>
      <c r="L11" s="6" t="s">
        <v>136</v>
      </c>
      <c r="M11" s="64" t="s">
        <v>140</v>
      </c>
      <c r="N11" s="91">
        <f t="shared" si="3"/>
        <v>104</v>
      </c>
      <c r="O11" s="69"/>
    </row>
    <row r="12" spans="1:15" ht="19.5" thickBot="1" x14ac:dyDescent="0.35">
      <c r="A12" s="51"/>
      <c r="B12" s="29" t="s">
        <v>96</v>
      </c>
      <c r="C12" s="68">
        <f>'Расчет электрических нагрузок'!Q13</f>
        <v>76.475035483640426</v>
      </c>
      <c r="D12" s="64">
        <f>SUM(C3:C11)+MAX(D3:D11)-MAX(C3:C11)</f>
        <v>203.30406154954358</v>
      </c>
      <c r="E12" s="6">
        <f t="shared" si="0"/>
        <v>89.970629980753444</v>
      </c>
      <c r="F12" s="62">
        <v>100</v>
      </c>
      <c r="G12" s="6">
        <f>D12*1.25</f>
        <v>254.13007693692947</v>
      </c>
      <c r="H12" s="62">
        <f t="shared" si="4"/>
        <v>700</v>
      </c>
      <c r="I12" s="61">
        <v>1</v>
      </c>
      <c r="J12" s="61">
        <f t="shared" si="2"/>
        <v>100</v>
      </c>
      <c r="K12" s="61">
        <v>242</v>
      </c>
      <c r="L12" s="64" t="s">
        <v>137</v>
      </c>
      <c r="M12" s="64" t="s">
        <v>143</v>
      </c>
      <c r="N12" s="91">
        <f t="shared" si="3"/>
        <v>242</v>
      </c>
      <c r="O12" s="69"/>
    </row>
    <row r="13" spans="1:15" ht="19.5" thickBot="1" x14ac:dyDescent="0.35">
      <c r="A13" s="115" t="s">
        <v>135</v>
      </c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7"/>
      <c r="O13" s="69"/>
    </row>
    <row r="14" spans="1:15" x14ac:dyDescent="0.3">
      <c r="A14" s="32">
        <v>6</v>
      </c>
      <c r="B14" s="65" t="s">
        <v>55</v>
      </c>
      <c r="C14" s="26">
        <f>'Ведомость электропотребителей'!E7</f>
        <v>17.752321296412315</v>
      </c>
      <c r="D14" s="6">
        <f>'Ведомость электропотребителей'!J7</f>
        <v>88.76160648206158</v>
      </c>
      <c r="E14" s="6">
        <f>C14/0.85</f>
        <v>20.885083878132136</v>
      </c>
      <c r="F14" s="61">
        <v>32</v>
      </c>
      <c r="G14" s="6">
        <f>D14*1.25</f>
        <v>110.95200810257697</v>
      </c>
      <c r="H14" s="61">
        <f>'Ведомость электропотребителей'!I7*F14</f>
        <v>160</v>
      </c>
      <c r="I14" s="61">
        <v>1</v>
      </c>
      <c r="J14" s="61">
        <f>F14</f>
        <v>32</v>
      </c>
      <c r="K14" s="61">
        <v>78</v>
      </c>
      <c r="L14" s="6" t="s">
        <v>138</v>
      </c>
      <c r="M14" s="6" t="s">
        <v>142</v>
      </c>
      <c r="N14" s="91">
        <f>K14</f>
        <v>78</v>
      </c>
      <c r="O14" s="69"/>
    </row>
    <row r="15" spans="1:15" x14ac:dyDescent="0.3">
      <c r="A15" s="33">
        <v>11</v>
      </c>
      <c r="B15" s="28" t="s">
        <v>61</v>
      </c>
      <c r="C15" s="67">
        <f>'Ведомость электропотребителей'!E12</f>
        <v>11.403067643551335</v>
      </c>
      <c r="D15" s="63">
        <f>'Ведомость электропотребителей'!J12</f>
        <v>79.821473504859341</v>
      </c>
      <c r="E15" s="6">
        <f t="shared" ref="E15:E22" si="5">C15/0.85</f>
        <v>13.415373698295689</v>
      </c>
      <c r="F15" s="82">
        <v>32</v>
      </c>
      <c r="G15" s="6">
        <f t="shared" ref="G15:G22" si="6">D15*1.25</f>
        <v>99.776841881074176</v>
      </c>
      <c r="H15" s="82">
        <f>'Ведомость электропотребителей'!I12*F15</f>
        <v>224</v>
      </c>
      <c r="I15" s="61">
        <v>1</v>
      </c>
      <c r="J15" s="61">
        <f t="shared" ref="J15:J22" si="7">F15</f>
        <v>32</v>
      </c>
      <c r="K15" s="61">
        <v>78</v>
      </c>
      <c r="L15" s="6" t="s">
        <v>138</v>
      </c>
      <c r="M15" s="63" t="s">
        <v>142</v>
      </c>
      <c r="N15" s="91">
        <f t="shared" ref="N15:N22" si="8">K15</f>
        <v>78</v>
      </c>
      <c r="O15" s="69"/>
    </row>
    <row r="16" spans="1:15" x14ac:dyDescent="0.3">
      <c r="A16" s="33">
        <v>13</v>
      </c>
      <c r="B16" s="28" t="s">
        <v>51</v>
      </c>
      <c r="C16" s="67">
        <f>'Ведомость электропотребителей'!E14</f>
        <v>11.674950041784676</v>
      </c>
      <c r="D16" s="6">
        <f>'Ведомость электропотребителей'!J14</f>
        <v>81.724650292492726</v>
      </c>
      <c r="E16" s="6">
        <f t="shared" si="5"/>
        <v>13.73523534327609</v>
      </c>
      <c r="F16" s="82">
        <v>25</v>
      </c>
      <c r="G16" s="6">
        <f t="shared" si="6"/>
        <v>102.1558128656159</v>
      </c>
      <c r="H16" s="82">
        <f>'Ведомость электропотребителей'!I14*F16</f>
        <v>175</v>
      </c>
      <c r="I16" s="61">
        <v>1</v>
      </c>
      <c r="J16" s="61">
        <f t="shared" si="7"/>
        <v>25</v>
      </c>
      <c r="K16" s="61">
        <v>78</v>
      </c>
      <c r="L16" s="6" t="s">
        <v>138</v>
      </c>
      <c r="M16" s="63" t="s">
        <v>140</v>
      </c>
      <c r="N16" s="91">
        <f t="shared" si="8"/>
        <v>78</v>
      </c>
      <c r="O16" s="69"/>
    </row>
    <row r="17" spans="1:15" x14ac:dyDescent="0.3">
      <c r="A17" s="33">
        <v>15</v>
      </c>
      <c r="B17" s="28" t="s">
        <v>61</v>
      </c>
      <c r="C17" s="67">
        <f>'Ведомость электропотребителей'!E16</f>
        <v>6.6051429688453034</v>
      </c>
      <c r="D17" s="63">
        <f>'Ведомость электропотребителей'!J16</f>
        <v>46.236000781917127</v>
      </c>
      <c r="E17" s="6">
        <f t="shared" si="5"/>
        <v>7.7707564339356514</v>
      </c>
      <c r="F17" s="82">
        <v>16</v>
      </c>
      <c r="G17" s="6">
        <f t="shared" si="6"/>
        <v>57.795000977396413</v>
      </c>
      <c r="H17" s="82">
        <f>'Ведомость электропотребителей'!I14*F17</f>
        <v>112</v>
      </c>
      <c r="I17" s="61">
        <v>1</v>
      </c>
      <c r="J17" s="61">
        <f t="shared" si="7"/>
        <v>16</v>
      </c>
      <c r="K17" s="61">
        <v>78</v>
      </c>
      <c r="L17" s="6" t="s">
        <v>138</v>
      </c>
      <c r="M17" s="63" t="s">
        <v>141</v>
      </c>
      <c r="N17" s="91">
        <f t="shared" si="8"/>
        <v>78</v>
      </c>
      <c r="O17" s="69"/>
    </row>
    <row r="18" spans="1:15" x14ac:dyDescent="0.3">
      <c r="A18" s="33">
        <v>16</v>
      </c>
      <c r="B18" s="28" t="s">
        <v>62</v>
      </c>
      <c r="C18" s="67">
        <f>'Ведомость электропотребителей'!E17</f>
        <v>10.60341353110033</v>
      </c>
      <c r="D18" s="6">
        <f>'Ведомость электропотребителей'!J17</f>
        <v>74.223894717702308</v>
      </c>
      <c r="E18" s="6">
        <f t="shared" si="5"/>
        <v>12.474604154235683</v>
      </c>
      <c r="F18" s="82">
        <v>16</v>
      </c>
      <c r="G18" s="6">
        <f t="shared" si="6"/>
        <v>92.779868397127885</v>
      </c>
      <c r="H18" s="82">
        <f>'Ведомость электропотребителей'!I17*F18</f>
        <v>112</v>
      </c>
      <c r="I18" s="61">
        <v>1</v>
      </c>
      <c r="J18" s="61">
        <f t="shared" si="7"/>
        <v>16</v>
      </c>
      <c r="K18" s="61">
        <v>78</v>
      </c>
      <c r="L18" s="6" t="s">
        <v>138</v>
      </c>
      <c r="M18" s="63" t="s">
        <v>141</v>
      </c>
      <c r="N18" s="91">
        <f t="shared" si="8"/>
        <v>78</v>
      </c>
      <c r="O18" s="69"/>
    </row>
    <row r="19" spans="1:15" x14ac:dyDescent="0.3">
      <c r="A19" s="33">
        <v>17</v>
      </c>
      <c r="B19" s="28" t="s">
        <v>62</v>
      </c>
      <c r="C19" s="67">
        <f>'Ведомость электропотребителей'!E18</f>
        <v>9.9636902411395258</v>
      </c>
      <c r="D19" s="63">
        <f>'Ведомость электропотребителей'!J18</f>
        <v>69.745831687976676</v>
      </c>
      <c r="E19" s="6">
        <f t="shared" si="5"/>
        <v>11.721988518987677</v>
      </c>
      <c r="F19" s="82">
        <v>16</v>
      </c>
      <c r="G19" s="6">
        <f t="shared" si="6"/>
        <v>87.182289609970837</v>
      </c>
      <c r="H19" s="82">
        <f>'Ведомость электропотребителей'!I18*F19</f>
        <v>112</v>
      </c>
      <c r="I19" s="61">
        <v>1</v>
      </c>
      <c r="J19" s="61">
        <f t="shared" si="7"/>
        <v>16</v>
      </c>
      <c r="K19" s="61">
        <v>78</v>
      </c>
      <c r="L19" s="6" t="s">
        <v>138</v>
      </c>
      <c r="M19" s="63" t="s">
        <v>141</v>
      </c>
      <c r="N19" s="91">
        <f t="shared" si="8"/>
        <v>78</v>
      </c>
      <c r="O19" s="69"/>
    </row>
    <row r="20" spans="1:15" x14ac:dyDescent="0.3">
      <c r="A20" s="33">
        <v>18</v>
      </c>
      <c r="B20" s="28" t="s">
        <v>63</v>
      </c>
      <c r="C20" s="67">
        <f>'Ведомость электропотребителей'!E19</f>
        <v>11.195157574314072</v>
      </c>
      <c r="D20" s="6">
        <f>'Ведомость электропотребителей'!J19</f>
        <v>78.366103020198508</v>
      </c>
      <c r="E20" s="6">
        <f t="shared" si="5"/>
        <v>13.170773616840085</v>
      </c>
      <c r="F20" s="82">
        <v>25</v>
      </c>
      <c r="G20" s="6">
        <f t="shared" si="6"/>
        <v>97.957628775248139</v>
      </c>
      <c r="H20" s="82">
        <f>'Ведомость электропотребителей'!I19*F20</f>
        <v>175</v>
      </c>
      <c r="I20" s="61">
        <v>1</v>
      </c>
      <c r="J20" s="61">
        <f t="shared" si="7"/>
        <v>25</v>
      </c>
      <c r="K20" s="61">
        <v>78</v>
      </c>
      <c r="L20" s="6" t="s">
        <v>138</v>
      </c>
      <c r="M20" s="63" t="s">
        <v>140</v>
      </c>
      <c r="N20" s="91">
        <f t="shared" si="8"/>
        <v>78</v>
      </c>
      <c r="O20" s="69"/>
    </row>
    <row r="21" spans="1:15" x14ac:dyDescent="0.3">
      <c r="A21" s="34">
        <v>19</v>
      </c>
      <c r="B21" s="29" t="s">
        <v>64</v>
      </c>
      <c r="C21" s="68">
        <f>'Ведомость электропотребителей'!E20</f>
        <v>5.293710224425654</v>
      </c>
      <c r="D21" s="64">
        <f>'Ведомость электропотребителей'!J20</f>
        <v>37.05597157097958</v>
      </c>
      <c r="E21" s="6">
        <f t="shared" si="5"/>
        <v>6.2278943816772401</v>
      </c>
      <c r="F21" s="62">
        <v>16</v>
      </c>
      <c r="G21" s="6">
        <f t="shared" si="6"/>
        <v>46.319964463724475</v>
      </c>
      <c r="H21" s="62">
        <f>'Ведомость электропотребителей'!I20*F21</f>
        <v>112</v>
      </c>
      <c r="I21" s="61">
        <v>1</v>
      </c>
      <c r="J21" s="61">
        <f t="shared" si="7"/>
        <v>16</v>
      </c>
      <c r="K21" s="61">
        <v>78</v>
      </c>
      <c r="L21" s="6" t="s">
        <v>138</v>
      </c>
      <c r="M21" s="64" t="s">
        <v>141</v>
      </c>
      <c r="N21" s="91">
        <f t="shared" si="8"/>
        <v>78</v>
      </c>
      <c r="O21" s="69"/>
    </row>
    <row r="22" spans="1:15" ht="19.5" thickBot="1" x14ac:dyDescent="0.35">
      <c r="A22" s="80"/>
      <c r="B22" s="66" t="s">
        <v>97</v>
      </c>
      <c r="C22" s="68">
        <f>'Расчет электрических нагрузок'!Q23</f>
        <v>64.931682031329004</v>
      </c>
      <c r="D22" s="64">
        <f>SUM(C14:C21)+MAX(D14:D21)-MAX(C14:C21)</f>
        <v>155.5007387072225</v>
      </c>
      <c r="E22" s="6">
        <f t="shared" si="5"/>
        <v>76.390214154504719</v>
      </c>
      <c r="F22" s="62">
        <v>100</v>
      </c>
      <c r="G22" s="6">
        <f t="shared" si="6"/>
        <v>194.37592338402811</v>
      </c>
      <c r="H22" s="62">
        <f>7*F22</f>
        <v>700</v>
      </c>
      <c r="I22" s="61">
        <v>1</v>
      </c>
      <c r="J22" s="61">
        <f t="shared" si="7"/>
        <v>100</v>
      </c>
      <c r="K22" s="61">
        <f>158</f>
        <v>158</v>
      </c>
      <c r="L22" s="6" t="s">
        <v>148</v>
      </c>
      <c r="M22" s="64" t="s">
        <v>143</v>
      </c>
      <c r="N22" s="91">
        <f t="shared" si="8"/>
        <v>158</v>
      </c>
      <c r="O22" s="69"/>
    </row>
    <row r="23" spans="1:15" ht="19.5" thickBot="1" x14ac:dyDescent="0.35">
      <c r="A23" s="115" t="s">
        <v>91</v>
      </c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7"/>
      <c r="O23" s="69"/>
    </row>
    <row r="24" spans="1:15" x14ac:dyDescent="0.3">
      <c r="A24" s="79">
        <v>1</v>
      </c>
      <c r="B24" s="74" t="s">
        <v>65</v>
      </c>
      <c r="C24" s="6">
        <f>'Ведомость электропотребителей'!E2</f>
        <v>20.471145278745734</v>
      </c>
      <c r="D24" s="6">
        <f>'Ведомость электропотребителей'!J2</f>
        <v>51.177863196864337</v>
      </c>
      <c r="E24" s="6">
        <f>C24/0.85</f>
        <v>24.083700327936157</v>
      </c>
      <c r="F24" s="61">
        <f>100</f>
        <v>100</v>
      </c>
      <c r="G24" s="6">
        <f>D24*1.25</f>
        <v>63.972328996080421</v>
      </c>
      <c r="H24" s="61">
        <f>F24*'Ведомость электропотребителей'!I2</f>
        <v>250</v>
      </c>
      <c r="I24" s="61">
        <v>1</v>
      </c>
      <c r="J24" s="61">
        <f>F24</f>
        <v>100</v>
      </c>
      <c r="K24" s="61">
        <v>78</v>
      </c>
      <c r="L24" s="6" t="s">
        <v>138</v>
      </c>
      <c r="M24" s="6" t="s">
        <v>143</v>
      </c>
      <c r="N24" s="91">
        <f>K24</f>
        <v>78</v>
      </c>
      <c r="O24" s="69"/>
    </row>
    <row r="25" spans="1:15" x14ac:dyDescent="0.3">
      <c r="A25" s="79">
        <v>12</v>
      </c>
      <c r="B25" s="70" t="s">
        <v>66</v>
      </c>
      <c r="C25" s="63">
        <f>'Ведомость электропотребителей'!E13</f>
        <v>18.871837053843723</v>
      </c>
      <c r="D25" s="63">
        <f>'Ведомость электропотребителей'!J13</f>
        <v>66.051429688453027</v>
      </c>
      <c r="E25" s="6">
        <f>C25/0.85</f>
        <v>22.202161239816146</v>
      </c>
      <c r="F25" s="82">
        <f>160</f>
        <v>160</v>
      </c>
      <c r="G25" s="6">
        <f t="shared" ref="G25:G26" si="9">D25*1.25</f>
        <v>82.564287110566283</v>
      </c>
      <c r="H25" s="82">
        <f>F25*'Ведомость электропотребителей'!I13</f>
        <v>560</v>
      </c>
      <c r="I25" s="61">
        <v>1</v>
      </c>
      <c r="J25" s="61">
        <f t="shared" ref="J25:J26" si="10">F25</f>
        <v>160</v>
      </c>
      <c r="K25" s="61">
        <v>127</v>
      </c>
      <c r="L25" s="63" t="s">
        <v>149</v>
      </c>
      <c r="M25" s="63" t="s">
        <v>144</v>
      </c>
      <c r="N25" s="91">
        <f t="shared" ref="N25:N26" si="11">K25</f>
        <v>127</v>
      </c>
      <c r="O25" s="69"/>
    </row>
    <row r="26" spans="1:15" ht="19.5" thickBot="1" x14ac:dyDescent="0.35">
      <c r="A26" s="79">
        <v>14</v>
      </c>
      <c r="B26" s="75" t="s">
        <v>65</v>
      </c>
      <c r="C26" s="64">
        <f>'Ведомость электропотребителей'!E15</f>
        <v>20.471145278745734</v>
      </c>
      <c r="D26" s="64">
        <f>'Ведомость электропотребителей'!J15</f>
        <v>51.177863196864337</v>
      </c>
      <c r="E26" s="6">
        <f>C26/0.85</f>
        <v>24.083700327936157</v>
      </c>
      <c r="F26" s="62">
        <v>100</v>
      </c>
      <c r="G26" s="6">
        <f t="shared" si="9"/>
        <v>63.972328996080421</v>
      </c>
      <c r="H26" s="62">
        <f>F26*'Ведомость электропотребителей'!I15</f>
        <v>250</v>
      </c>
      <c r="I26" s="61">
        <v>1</v>
      </c>
      <c r="J26" s="61">
        <f t="shared" si="10"/>
        <v>100</v>
      </c>
      <c r="K26" s="61">
        <v>78</v>
      </c>
      <c r="L26" s="6" t="s">
        <v>138</v>
      </c>
      <c r="M26" s="64" t="s">
        <v>143</v>
      </c>
      <c r="N26" s="91">
        <f t="shared" si="11"/>
        <v>78</v>
      </c>
      <c r="O26" s="69"/>
    </row>
    <row r="27" spans="1:15" ht="19.5" thickBot="1" x14ac:dyDescent="0.35">
      <c r="A27" s="115" t="s">
        <v>95</v>
      </c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7"/>
      <c r="O27" s="69"/>
    </row>
    <row r="28" spans="1:15" ht="19.5" thickBot="1" x14ac:dyDescent="0.35">
      <c r="A28" s="7"/>
      <c r="B28" s="76"/>
      <c r="C28" s="77">
        <f>'Расчет электрических нагрузок'!Q33</f>
        <v>169.4532332052338</v>
      </c>
      <c r="D28" s="77">
        <f>SUM(C24:C26,C22,C12)+MAX(D24:D26,D22,D12)-MAX(C24:C26,C22,C12)</f>
        <v>328.04987119220777</v>
      </c>
      <c r="E28" s="77">
        <f>C28/0.85</f>
        <v>199.35674494733388</v>
      </c>
      <c r="F28" s="83">
        <v>250</v>
      </c>
      <c r="G28" s="77">
        <f>D28*1.25</f>
        <v>410.06233899025972</v>
      </c>
      <c r="H28" s="83">
        <f>7*F28</f>
        <v>1750</v>
      </c>
      <c r="I28" s="83">
        <v>1</v>
      </c>
      <c r="J28" s="83">
        <f>F28</f>
        <v>250</v>
      </c>
      <c r="K28" s="83">
        <v>242</v>
      </c>
      <c r="L28" s="77" t="s">
        <v>139</v>
      </c>
      <c r="M28" s="77" t="s">
        <v>145</v>
      </c>
      <c r="N28" s="92">
        <f>K28</f>
        <v>242</v>
      </c>
      <c r="O28" s="69"/>
    </row>
    <row r="29" spans="1:15" x14ac:dyDescent="0.3"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</row>
    <row r="30" spans="1:15" x14ac:dyDescent="0.3">
      <c r="D30" s="81"/>
    </row>
  </sheetData>
  <mergeCells count="4">
    <mergeCell ref="A27:N27"/>
    <mergeCell ref="A23:N23"/>
    <mergeCell ref="A13:N13"/>
    <mergeCell ref="A2:N2"/>
  </mergeCells>
  <pageMargins left="0.7" right="0.7" top="0.75" bottom="0.75" header="0.3" footer="0.3"/>
  <pageSetup paperSize="9" orientation="portrait" r:id="rId1"/>
  <ignoredErrors>
    <ignoredError sqref="D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zoomScale="70" zoomScaleNormal="70" workbookViewId="0">
      <selection activeCell="B4" sqref="B4"/>
    </sheetView>
  </sheetViews>
  <sheetFormatPr defaultRowHeight="18.75" x14ac:dyDescent="0.3"/>
  <cols>
    <col min="1" max="1" width="20.77734375" bestFit="1" customWidth="1"/>
    <col min="2" max="2" width="12" bestFit="1" customWidth="1"/>
    <col min="9" max="10" width="10.33203125" bestFit="1" customWidth="1"/>
    <col min="11" max="11" width="11" bestFit="1" customWidth="1"/>
  </cols>
  <sheetData>
    <row r="1" spans="1:12" x14ac:dyDescent="0.3">
      <c r="A1" s="129"/>
      <c r="B1" s="125" t="s">
        <v>127</v>
      </c>
      <c r="C1" s="125" t="s">
        <v>126</v>
      </c>
      <c r="D1" s="125" t="s">
        <v>125</v>
      </c>
      <c r="E1" s="125" t="s">
        <v>107</v>
      </c>
      <c r="F1" s="125"/>
      <c r="G1" s="125" t="s">
        <v>123</v>
      </c>
      <c r="H1" s="125" t="s">
        <v>129</v>
      </c>
      <c r="I1" s="125" t="s">
        <v>130</v>
      </c>
      <c r="J1" s="125" t="s">
        <v>131</v>
      </c>
      <c r="K1" s="125" t="s">
        <v>128</v>
      </c>
      <c r="L1" s="127" t="s">
        <v>108</v>
      </c>
    </row>
    <row r="2" spans="1:12" x14ac:dyDescent="0.3">
      <c r="A2" s="130"/>
      <c r="B2" s="126"/>
      <c r="C2" s="126"/>
      <c r="D2" s="126"/>
      <c r="E2" s="85" t="s">
        <v>124</v>
      </c>
      <c r="F2" s="85" t="s">
        <v>122</v>
      </c>
      <c r="G2" s="126"/>
      <c r="H2" s="126"/>
      <c r="I2" s="126"/>
      <c r="J2" s="126"/>
      <c r="K2" s="126"/>
      <c r="L2" s="128"/>
    </row>
    <row r="3" spans="1:12" x14ac:dyDescent="0.3">
      <c r="A3" s="86" t="s">
        <v>98</v>
      </c>
      <c r="B3" s="84">
        <f>(4.5*400*400)/(100*100000)</f>
        <v>7.1999999999999995E-2</v>
      </c>
      <c r="C3" s="84"/>
      <c r="D3" s="84"/>
      <c r="E3" s="84"/>
      <c r="F3" s="84"/>
      <c r="G3" s="84"/>
      <c r="H3" s="84"/>
      <c r="I3" s="84"/>
      <c r="J3" s="84"/>
      <c r="K3" s="84">
        <f>B3/3</f>
        <v>2.3999999999999997E-2</v>
      </c>
      <c r="L3" s="87"/>
    </row>
    <row r="4" spans="1:12" x14ac:dyDescent="0.3">
      <c r="A4" s="86" t="s">
        <v>132</v>
      </c>
      <c r="B4" s="84">
        <f t="shared" ref="B4:B15" si="0">SQRT(C4*C4+D4*D4)</f>
        <v>1.8762079442321952E-3</v>
      </c>
      <c r="C4" s="84">
        <f xml:space="preserve"> 0.37 * 5 / 1000</f>
        <v>1.8500000000000001E-3</v>
      </c>
      <c r="D4" s="84">
        <f xml:space="preserve"> 0.0625 * 5 / 1000</f>
        <v>3.1250000000000001E-4</v>
      </c>
      <c r="E4" s="84">
        <f>(400/SQRT(3))/(K3+2*B4)</f>
        <v>8321.441585625822</v>
      </c>
      <c r="F4" s="84">
        <f>(400/SQRT(3))/(K3+B4)</f>
        <v>8924.8049085695693</v>
      </c>
      <c r="G4" s="84">
        <v>95</v>
      </c>
      <c r="H4" s="84">
        <v>5</v>
      </c>
      <c r="I4" s="84">
        <f xml:space="preserve"> 0.0037</f>
        <v>3.7000000000000002E-3</v>
      </c>
      <c r="J4" s="84">
        <v>6.3000000000000003E-4</v>
      </c>
      <c r="K4" s="84"/>
      <c r="L4" s="87" t="s">
        <v>109</v>
      </c>
    </row>
    <row r="5" spans="1:12" x14ac:dyDescent="0.3">
      <c r="A5" s="86" t="s">
        <v>111</v>
      </c>
      <c r="B5" s="84">
        <f t="shared" si="0"/>
        <v>1.8762079442321952E-3</v>
      </c>
      <c r="C5" s="84">
        <f>C4</f>
        <v>1.8500000000000001E-3</v>
      </c>
      <c r="D5" s="84">
        <f>D4</f>
        <v>3.1250000000000001E-4</v>
      </c>
      <c r="E5" s="84">
        <f>(400/SQRT(3))/(K3+2*B4+2*B5)</f>
        <v>7330.307595705669</v>
      </c>
      <c r="F5" s="84">
        <f>(400/SQRT(3))/(K3+B4+B5)</f>
        <v>8321.441585625822</v>
      </c>
      <c r="G5" s="84">
        <v>95</v>
      </c>
      <c r="H5" s="84">
        <v>5</v>
      </c>
      <c r="I5" s="84">
        <f t="shared" ref="I5:I6" si="1" xml:space="preserve"> 0.0037</f>
        <v>3.7000000000000002E-3</v>
      </c>
      <c r="J5" s="84">
        <v>6.3000000000000003E-4</v>
      </c>
      <c r="K5" s="84"/>
      <c r="L5" s="87" t="s">
        <v>110</v>
      </c>
    </row>
    <row r="6" spans="1:12" x14ac:dyDescent="0.3">
      <c r="A6" s="86" t="s">
        <v>175</v>
      </c>
      <c r="B6" s="84">
        <f t="shared" si="0"/>
        <v>7.1311786543319759E-3</v>
      </c>
      <c r="C6" s="84">
        <f>0.37*19/1000</f>
        <v>7.0300000000000007E-3</v>
      </c>
      <c r="D6" s="84">
        <f>0.063*19/1000</f>
        <v>1.1970000000000001E-3</v>
      </c>
      <c r="E6" s="84">
        <f>(400/SQRT(3))/(K3+2*B4+2*B5+2*B6)</f>
        <v>5045.9753436889368</v>
      </c>
      <c r="F6" s="84">
        <f>(400/SQRT(3))/(K3+B4+B5+B6)</f>
        <v>6620.3070727853255</v>
      </c>
      <c r="G6" s="84">
        <v>95</v>
      </c>
      <c r="H6" s="84">
        <v>19</v>
      </c>
      <c r="I6" s="84">
        <f t="shared" si="1"/>
        <v>3.7000000000000002E-3</v>
      </c>
      <c r="J6" s="84">
        <v>6.3000000000000003E-4</v>
      </c>
      <c r="K6" s="84"/>
      <c r="L6" s="87" t="s">
        <v>112</v>
      </c>
    </row>
    <row r="7" spans="1:12" x14ac:dyDescent="0.3">
      <c r="A7" s="86" t="s">
        <v>174</v>
      </c>
      <c r="B7" s="84">
        <f>SQRT(C7*C7+D7*D7)</f>
        <v>3.8810512563479491E-2</v>
      </c>
      <c r="C7" s="84">
        <f>1.16 * 33.4 / 1000</f>
        <v>3.8743999999999994E-2</v>
      </c>
      <c r="D7" s="84">
        <f>0.068 * 33.4 / 1000</f>
        <v>2.2711999999999997E-3</v>
      </c>
      <c r="E7" s="84">
        <f>(400/SQRT(3))/(K3+2*B4+2*B5+2*B6+2*B7)</f>
        <v>1871.6545105193513</v>
      </c>
      <c r="F7" s="84">
        <f>(400/SQRT(3))/(K3+B4+B5+B6+B7)</f>
        <v>3133.7662771706646</v>
      </c>
      <c r="G7" s="84">
        <v>35</v>
      </c>
      <c r="H7" s="84">
        <v>53.6</v>
      </c>
      <c r="I7" s="84">
        <v>1.1599999999999999E-2</v>
      </c>
      <c r="J7" s="84">
        <f>0.00068</f>
        <v>6.8000000000000005E-4</v>
      </c>
      <c r="K7" s="84"/>
      <c r="L7" s="87" t="s">
        <v>115</v>
      </c>
    </row>
    <row r="8" spans="1:12" x14ac:dyDescent="0.3">
      <c r="A8" s="86" t="s">
        <v>101</v>
      </c>
      <c r="B8" s="84">
        <f t="shared" si="0"/>
        <v>0.19065000000000001</v>
      </c>
      <c r="C8" s="84">
        <f>12.3*15.5/1000</f>
        <v>0.19065000000000001</v>
      </c>
      <c r="D8" s="84">
        <v>0</v>
      </c>
      <c r="E8" s="84">
        <f>(400/SQRT(3))/(K3+2*B4+2*B5+2*B8)</f>
        <v>559.4413870636223</v>
      </c>
      <c r="F8" s="84">
        <f>(400/SQRT(3))/(K3+B4+B8)</f>
        <v>1066.5688457229644</v>
      </c>
      <c r="G8" s="84">
        <v>16</v>
      </c>
      <c r="H8" s="84">
        <v>15.5</v>
      </c>
      <c r="I8" s="84">
        <v>1.23E-2</v>
      </c>
      <c r="J8" s="84">
        <v>0</v>
      </c>
      <c r="K8" s="84"/>
      <c r="L8" s="87" t="s">
        <v>114</v>
      </c>
    </row>
    <row r="9" spans="1:12" x14ac:dyDescent="0.3">
      <c r="A9" s="86" t="s">
        <v>100</v>
      </c>
      <c r="B9" s="84">
        <f t="shared" si="0"/>
        <v>0.38991000000000003</v>
      </c>
      <c r="C9" s="84">
        <f>12.3*31.7/1000</f>
        <v>0.38991000000000003</v>
      </c>
      <c r="D9" s="84">
        <v>0</v>
      </c>
      <c r="E9" s="84">
        <f>(400/SQRT(3))/(K3+2*B4+2*B5+2*B9)</f>
        <v>284.64567905564434</v>
      </c>
      <c r="F9" s="84">
        <f>(400/SQRT(3))/(K3+B4+B9)</f>
        <v>555.42993794259144</v>
      </c>
      <c r="G9" s="84">
        <v>35</v>
      </c>
      <c r="H9" s="84">
        <v>31.7</v>
      </c>
      <c r="I9" s="84">
        <v>1.23E-2</v>
      </c>
      <c r="J9" s="84">
        <v>0</v>
      </c>
      <c r="K9" s="84"/>
      <c r="L9" s="87" t="s">
        <v>119</v>
      </c>
    </row>
    <row r="10" spans="1:12" x14ac:dyDescent="0.3">
      <c r="A10" s="86" t="s">
        <v>102</v>
      </c>
      <c r="B10" s="84">
        <f t="shared" si="0"/>
        <v>0.15621000000000002</v>
      </c>
      <c r="C10" s="84">
        <f>12.3*12.7/1000</f>
        <v>0.15621000000000002</v>
      </c>
      <c r="D10" s="84">
        <v>0</v>
      </c>
      <c r="E10" s="84">
        <f>(400/SQRT(3))/(K3+2*B4+2*B5+2*B10)</f>
        <v>671.48424986550299</v>
      </c>
      <c r="F10" s="84">
        <f>(400/SQRT(3))/(K3+B4+B10)</f>
        <v>1268.3009343935632</v>
      </c>
      <c r="G10" s="84">
        <v>16</v>
      </c>
      <c r="H10" s="84">
        <v>12.7</v>
      </c>
      <c r="I10" s="84">
        <v>1.23E-2</v>
      </c>
      <c r="J10" s="84">
        <v>0</v>
      </c>
      <c r="K10" s="84"/>
      <c r="L10" s="87" t="s">
        <v>116</v>
      </c>
    </row>
    <row r="11" spans="1:12" x14ac:dyDescent="0.3">
      <c r="A11" s="86" t="s">
        <v>99</v>
      </c>
      <c r="B11" s="84">
        <f t="shared" si="0"/>
        <v>9.2499999999999999E-2</v>
      </c>
      <c r="C11" s="84">
        <f>18.5*5/1000</f>
        <v>9.2499999999999999E-2</v>
      </c>
      <c r="D11" s="84">
        <v>0</v>
      </c>
      <c r="E11" s="84">
        <f>(400/SQRT(3))/(K3+2*B4+2*B5+2*B6+2*B11)</f>
        <v>1000.7493205205765</v>
      </c>
      <c r="F11" s="84">
        <f>(400/SQRT(3))/(K3+B4+B5+B6+B11)</f>
        <v>1812.9501566095521</v>
      </c>
      <c r="G11" s="84">
        <v>25</v>
      </c>
      <c r="H11" s="84">
        <v>5</v>
      </c>
      <c r="I11" s="84">
        <v>1.8499999999999999E-2</v>
      </c>
      <c r="J11" s="84">
        <v>0</v>
      </c>
      <c r="K11" s="84"/>
      <c r="L11" s="87" t="s">
        <v>117</v>
      </c>
    </row>
    <row r="12" spans="1:12" x14ac:dyDescent="0.3">
      <c r="A12" s="86" t="s">
        <v>103</v>
      </c>
      <c r="B12" s="84">
        <f t="shared" si="0"/>
        <v>9.2499999999999999E-2</v>
      </c>
      <c r="C12" s="84">
        <f>18.5*5/1000</f>
        <v>9.2499999999999999E-2</v>
      </c>
      <c r="D12" s="84">
        <v>0</v>
      </c>
      <c r="E12" s="84">
        <f>(400/SQRT(3))/(K3+2*B4+2*B5+2*B7+2*B11)</f>
        <v>785.174449151933</v>
      </c>
      <c r="F12" s="84">
        <f>(400/SQRT(3))/(K3+B4+B5+B7+B11)</f>
        <v>1451.8788879561087</v>
      </c>
      <c r="G12" s="84">
        <v>16</v>
      </c>
      <c r="H12" s="84">
        <v>5</v>
      </c>
      <c r="I12" s="84">
        <v>1.8499999999999999E-2</v>
      </c>
      <c r="J12" s="84">
        <v>0</v>
      </c>
      <c r="K12" s="84"/>
      <c r="L12" s="87" t="s">
        <v>113</v>
      </c>
    </row>
    <row r="13" spans="1:12" x14ac:dyDescent="0.3">
      <c r="A13" s="86" t="s">
        <v>104</v>
      </c>
      <c r="B13" s="84">
        <f t="shared" si="0"/>
        <v>0.43049999999999999</v>
      </c>
      <c r="C13" s="84">
        <f>12.3*35/1000</f>
        <v>0.43049999999999999</v>
      </c>
      <c r="D13" s="84">
        <v>0</v>
      </c>
      <c r="E13" s="84">
        <f>(400/SQRT(3))/(K3+2*B4+2*B5+2*B8+2*B13)</f>
        <v>181.29944392948653</v>
      </c>
      <c r="F13" s="84">
        <f>(400/SQRT(3))/(K3+B4+B5+B8+B13)</f>
        <v>355.8934317722514</v>
      </c>
      <c r="G13" s="84">
        <v>10</v>
      </c>
      <c r="H13" s="84">
        <v>5</v>
      </c>
      <c r="I13" s="84">
        <v>1.23E-2</v>
      </c>
      <c r="J13" s="84">
        <v>0</v>
      </c>
      <c r="K13" s="84"/>
      <c r="L13" s="87" t="s">
        <v>118</v>
      </c>
    </row>
    <row r="14" spans="1:12" x14ac:dyDescent="0.3">
      <c r="A14" s="86" t="s">
        <v>105</v>
      </c>
      <c r="B14" s="84">
        <f t="shared" si="0"/>
        <v>0.43049999999999999</v>
      </c>
      <c r="C14" s="84">
        <f>12.3*35/1000</f>
        <v>0.43049999999999999</v>
      </c>
      <c r="D14" s="84">
        <v>0</v>
      </c>
      <c r="E14" s="84">
        <f>(400/SQRT(3))/(K3+2*B4+2*B5+2*B9+2*B14)</f>
        <v>138.09524518658549</v>
      </c>
      <c r="F14" s="84">
        <f>(400/SQRT(3))/(K3+B4+B5+B9+B14)</f>
        <v>272.28288279425431</v>
      </c>
      <c r="G14" s="84">
        <v>6</v>
      </c>
      <c r="H14" s="84">
        <v>5</v>
      </c>
      <c r="I14" s="84">
        <v>1.23E-2</v>
      </c>
      <c r="J14" s="84">
        <v>0</v>
      </c>
      <c r="K14" s="84"/>
      <c r="L14" s="87" t="s">
        <v>121</v>
      </c>
    </row>
    <row r="15" spans="1:12" ht="19.5" thickBot="1" x14ac:dyDescent="0.35">
      <c r="A15" s="88" t="s">
        <v>106</v>
      </c>
      <c r="B15" s="89">
        <f t="shared" si="0"/>
        <v>0.43049999999999999</v>
      </c>
      <c r="C15" s="89">
        <f>12.3*35/1000</f>
        <v>0.43049999999999999</v>
      </c>
      <c r="D15" s="89">
        <v>0</v>
      </c>
      <c r="E15" s="89">
        <f>(400/SQRT(3))/(K3+2*B4+2*B5+2*B10+2*B15)</f>
        <v>191.66349766008054</v>
      </c>
      <c r="F15" s="89">
        <f>(400/SQRT(3))/(K3+B4+B5+B10+B15)</f>
        <v>375.84090044291656</v>
      </c>
      <c r="G15" s="89">
        <v>10</v>
      </c>
      <c r="H15" s="89">
        <v>5</v>
      </c>
      <c r="I15" s="89">
        <v>1.23E-2</v>
      </c>
      <c r="J15" s="89">
        <v>0</v>
      </c>
      <c r="K15" s="89"/>
      <c r="L15" s="90" t="s">
        <v>120</v>
      </c>
    </row>
  </sheetData>
  <mergeCells count="11">
    <mergeCell ref="I1:I2"/>
    <mergeCell ref="J1:J2"/>
    <mergeCell ref="K1:K2"/>
    <mergeCell ref="L1:L2"/>
    <mergeCell ref="A1:A2"/>
    <mergeCell ref="E1:F1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A1:C22"/>
    </sheetView>
  </sheetViews>
  <sheetFormatPr defaultRowHeight="18.75" x14ac:dyDescent="0.3"/>
  <cols>
    <col min="1" max="1" width="37.44140625" bestFit="1" customWidth="1"/>
    <col min="2" max="2" width="19.77734375" bestFit="1" customWidth="1"/>
    <col min="3" max="3" width="9.88671875" bestFit="1" customWidth="1"/>
  </cols>
  <sheetData>
    <row r="1" spans="1:3" ht="39" customHeight="1" thickBot="1" x14ac:dyDescent="0.35">
      <c r="A1" s="99" t="s">
        <v>150</v>
      </c>
      <c r="B1" s="99" t="s">
        <v>151</v>
      </c>
      <c r="C1" s="100" t="s">
        <v>152</v>
      </c>
    </row>
    <row r="2" spans="1:3" x14ac:dyDescent="0.3">
      <c r="A2" s="131">
        <v>1</v>
      </c>
      <c r="B2" s="101">
        <v>4</v>
      </c>
      <c r="C2" s="101" t="s">
        <v>153</v>
      </c>
    </row>
    <row r="3" spans="1:3" x14ac:dyDescent="0.3">
      <c r="A3" s="132"/>
      <c r="B3" s="102">
        <v>6</v>
      </c>
      <c r="C3" s="102" t="s">
        <v>154</v>
      </c>
    </row>
    <row r="4" spans="1:3" x14ac:dyDescent="0.3">
      <c r="A4" s="132"/>
      <c r="B4" s="102">
        <v>10</v>
      </c>
      <c r="C4" s="102" t="s">
        <v>155</v>
      </c>
    </row>
    <row r="5" spans="1:3" x14ac:dyDescent="0.3">
      <c r="A5" s="132"/>
      <c r="B5" s="102">
        <v>20</v>
      </c>
      <c r="C5" s="102" t="s">
        <v>156</v>
      </c>
    </row>
    <row r="6" spans="1:3" x14ac:dyDescent="0.3">
      <c r="A6" s="132"/>
      <c r="B6" s="102">
        <v>40</v>
      </c>
      <c r="C6" s="102" t="s">
        <v>157</v>
      </c>
    </row>
    <row r="7" spans="1:3" x14ac:dyDescent="0.3">
      <c r="A7" s="132"/>
      <c r="B7" s="102">
        <v>50</v>
      </c>
      <c r="C7" s="102" t="s">
        <v>158</v>
      </c>
    </row>
    <row r="8" spans="1:3" ht="19.5" thickBot="1" x14ac:dyDescent="0.35">
      <c r="A8" s="133"/>
      <c r="B8" s="103">
        <v>100</v>
      </c>
      <c r="C8" s="103" t="s">
        <v>159</v>
      </c>
    </row>
    <row r="9" spans="1:3" x14ac:dyDescent="0.3">
      <c r="A9" s="131">
        <v>2</v>
      </c>
      <c r="B9" s="101">
        <v>4</v>
      </c>
      <c r="C9" s="101" t="s">
        <v>160</v>
      </c>
    </row>
    <row r="10" spans="1:3" x14ac:dyDescent="0.3">
      <c r="A10" s="132"/>
      <c r="B10" s="102">
        <v>6</v>
      </c>
      <c r="C10" s="102" t="s">
        <v>161</v>
      </c>
    </row>
    <row r="11" spans="1:3" x14ac:dyDescent="0.3">
      <c r="A11" s="132"/>
      <c r="B11" s="102">
        <v>10</v>
      </c>
      <c r="C11" s="102" t="s">
        <v>162</v>
      </c>
    </row>
    <row r="12" spans="1:3" x14ac:dyDescent="0.3">
      <c r="A12" s="132"/>
      <c r="B12" s="102">
        <v>20</v>
      </c>
      <c r="C12" s="102" t="s">
        <v>163</v>
      </c>
    </row>
    <row r="13" spans="1:3" x14ac:dyDescent="0.3">
      <c r="A13" s="132"/>
      <c r="B13" s="102">
        <v>40</v>
      </c>
      <c r="C13" s="102" t="s">
        <v>164</v>
      </c>
    </row>
    <row r="14" spans="1:3" x14ac:dyDescent="0.3">
      <c r="A14" s="132"/>
      <c r="B14" s="102">
        <v>50</v>
      </c>
      <c r="C14" s="102" t="s">
        <v>155</v>
      </c>
    </row>
    <row r="15" spans="1:3" ht="19.5" thickBot="1" x14ac:dyDescent="0.35">
      <c r="A15" s="133"/>
      <c r="B15" s="103">
        <v>100</v>
      </c>
      <c r="C15" s="103" t="s">
        <v>165</v>
      </c>
    </row>
    <row r="16" spans="1:3" x14ac:dyDescent="0.3">
      <c r="A16" s="131">
        <v>3</v>
      </c>
      <c r="B16" s="101">
        <v>4</v>
      </c>
      <c r="C16" s="101" t="s">
        <v>166</v>
      </c>
    </row>
    <row r="17" spans="1:3" x14ac:dyDescent="0.3">
      <c r="A17" s="132"/>
      <c r="B17" s="102">
        <v>6</v>
      </c>
      <c r="C17" s="102" t="s">
        <v>167</v>
      </c>
    </row>
    <row r="18" spans="1:3" x14ac:dyDescent="0.3">
      <c r="A18" s="132"/>
      <c r="B18" s="102">
        <v>10</v>
      </c>
      <c r="C18" s="102" t="s">
        <v>168</v>
      </c>
    </row>
    <row r="19" spans="1:3" x14ac:dyDescent="0.3">
      <c r="A19" s="132"/>
      <c r="B19" s="102">
        <v>20</v>
      </c>
      <c r="C19" s="102" t="s">
        <v>169</v>
      </c>
    </row>
    <row r="20" spans="1:3" x14ac:dyDescent="0.3">
      <c r="A20" s="132"/>
      <c r="B20" s="102">
        <v>40</v>
      </c>
      <c r="C20" s="102" t="s">
        <v>170</v>
      </c>
    </row>
    <row r="21" spans="1:3" x14ac:dyDescent="0.3">
      <c r="A21" s="132"/>
      <c r="B21" s="102">
        <v>50</v>
      </c>
      <c r="C21" s="102" t="s">
        <v>171</v>
      </c>
    </row>
    <row r="22" spans="1:3" ht="19.5" thickBot="1" x14ac:dyDescent="0.35">
      <c r="A22" s="133"/>
      <c r="B22" s="103">
        <v>100</v>
      </c>
      <c r="C22" s="103" t="s">
        <v>172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Ведомость электропотребителей</vt:lpstr>
      <vt:lpstr>Расчет электрических нагрузок</vt:lpstr>
      <vt:lpstr>Расчет освещения</vt:lpstr>
      <vt:lpstr>Выбор защиты</vt:lpstr>
      <vt:lpstr>КЗ</vt:lpstr>
      <vt:lpstr>Чтение по жипегу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Бурлаков</dc:creator>
  <cp:lastModifiedBy>Сергей Бурлаков</cp:lastModifiedBy>
  <dcterms:created xsi:type="dcterms:W3CDTF">2022-09-06T21:45:41Z</dcterms:created>
  <dcterms:modified xsi:type="dcterms:W3CDTF">2022-11-07T21:08:08Z</dcterms:modified>
</cp:coreProperties>
</file>