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s\OneDrive\Рабочий стол\Projects\Java-English-Study\"/>
    </mc:Choice>
  </mc:AlternateContent>
  <bookViews>
    <workbookView xWindow="720" yWindow="135" windowWidth="27480" windowHeight="12600" activeTab="1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C7" i="5"/>
  <c r="K22" i="4"/>
  <c r="B7" i="5" l="1"/>
  <c r="M13" i="2" l="1"/>
  <c r="M23" i="2"/>
  <c r="M26" i="2"/>
  <c r="M29" i="2"/>
  <c r="M32" i="2"/>
  <c r="N28" i="4" l="1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N3" i="4"/>
  <c r="J28" i="4"/>
  <c r="J26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H28" i="4" l="1"/>
  <c r="H22" i="4"/>
  <c r="H6" i="4"/>
  <c r="H5" i="4"/>
  <c r="H4" i="4"/>
  <c r="H3" i="4"/>
  <c r="H16" i="4"/>
  <c r="H17" i="4"/>
  <c r="H26" i="4"/>
  <c r="H21" i="4" l="1"/>
  <c r="H20" i="4"/>
  <c r="H19" i="4"/>
  <c r="H18" i="4"/>
  <c r="H15" i="4"/>
  <c r="H14" i="4"/>
  <c r="H12" i="4" l="1"/>
  <c r="H11" i="4"/>
  <c r="H10" i="4"/>
  <c r="H9" i="4"/>
  <c r="H8" i="4"/>
  <c r="H7" i="4"/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E7" i="5" s="1"/>
  <c r="F4" i="5" l="1"/>
  <c r="E6" i="5"/>
  <c r="E4" i="5"/>
  <c r="F5" i="5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F25" i="4" l="1"/>
  <c r="F24" i="4"/>
  <c r="J24" i="4" l="1"/>
  <c r="H24" i="4"/>
  <c r="J25" i="4"/>
  <c r="H25" i="4"/>
  <c r="G39" i="2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33" i="2" l="1"/>
  <c r="C40" i="2" s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E17" i="2"/>
  <c r="I17" i="2" s="1"/>
  <c r="J17" i="2" s="1"/>
  <c r="K17" i="2"/>
  <c r="F13" i="2"/>
  <c r="D13" i="2"/>
  <c r="D23" i="2" s="1"/>
  <c r="D33" i="2" s="1"/>
  <c r="E4" i="2"/>
  <c r="K9" i="1"/>
  <c r="E9" i="1" s="1"/>
  <c r="K13" i="2" l="1"/>
  <c r="J9" i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E11" i="1"/>
  <c r="E12" i="1"/>
  <c r="K6" i="1"/>
  <c r="E6" i="1" s="1"/>
  <c r="K7" i="1"/>
  <c r="E7" i="1" s="1"/>
  <c r="K8" i="1"/>
  <c r="E8" i="1" s="1"/>
  <c r="K10" i="1"/>
  <c r="E10" i="1" s="1"/>
  <c r="K11" i="1"/>
  <c r="K12" i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4" i="1"/>
  <c r="E4" i="1" s="1"/>
  <c r="K5" i="1"/>
  <c r="E5" i="1" s="1"/>
  <c r="J5" i="1" s="1"/>
  <c r="K3" i="1"/>
  <c r="E3" i="1" s="1"/>
  <c r="K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J13" i="1"/>
  <c r="D25" i="4" s="1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P26" i="2" s="1"/>
  <c r="Q26" i="2" s="1"/>
  <c r="I13" i="2"/>
  <c r="E33" i="2"/>
  <c r="N32" i="2"/>
  <c r="J32" i="2"/>
  <c r="O32" i="2" s="1"/>
  <c r="I23" i="2"/>
  <c r="N29" i="2"/>
  <c r="J29" i="2"/>
  <c r="O29" i="2" s="1"/>
  <c r="P29" i="2" s="1"/>
  <c r="Q29" i="2" s="1"/>
  <c r="H40" i="2" l="1"/>
  <c r="G40" i="2"/>
  <c r="E14" i="4"/>
  <c r="D14" i="4"/>
  <c r="G14" i="4" s="1"/>
  <c r="D6" i="4"/>
  <c r="G6" i="4" s="1"/>
  <c r="E3" i="4"/>
  <c r="E24" i="4"/>
  <c r="P32" i="2"/>
  <c r="Q32" i="2" s="1"/>
  <c r="L33" i="2"/>
  <c r="I33" i="2"/>
  <c r="I40" i="2" s="1"/>
  <c r="J40" i="2" s="1"/>
  <c r="R13" i="2"/>
  <c r="N13" i="2"/>
  <c r="J13" i="2"/>
  <c r="O13" i="2" s="1"/>
  <c r="N23" i="2"/>
  <c r="R23" i="2"/>
  <c r="J23" i="2"/>
  <c r="O23" i="2" s="1"/>
  <c r="D12" i="4" l="1"/>
  <c r="G12" i="4" s="1"/>
  <c r="D22" i="4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<sst xmlns="http://schemas.openxmlformats.org/spreadsheetml/2006/main" count="245" uniqueCount="176">
  <si>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</si>
  <si>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</si>
  <si>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</si>
  <si>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</si>
  <si>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</si>
  <si>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</si>
  <si>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</si>
  <si>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</si>
  <si>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</si>
  <si>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</si>
  <si>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</si>
  <si>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</si>
  <si>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</si>
  <si>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</si>
  <si>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</si>
  <si>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</si>
  <si>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</si>
  <si>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</si>
  <si>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</si>
  <si>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</si>
  <si>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</si>
  <si>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</si>
  <si>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</si>
  <si>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</si>
  <si>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</si>
  <si>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</si>
  <si>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</si>
  <si>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</si>
  <si>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</si>
  <si>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</si>
  <si>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</si>
  <si>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</si>
  <si>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</si>
  <si>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</si>
  <si>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</si>
  <si>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</si>
  <si>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</si>
  <si>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</si>
  <si>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</si>
  <si>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</si>
  <si>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</si>
  <si>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</si>
  <si>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</si>
  <si>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</si>
  <si>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</si>
  <si>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</si>
  <si>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</si>
  <si>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</si>
  <si>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</si>
  <si>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</si>
  <si>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</si>
  <si>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</si>
  <si>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</si>
  <si>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</si>
  <si>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</si>
  <si>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</si>
  <si>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</si>
  <si>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</si>
  <si>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</si>
  <si>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</si>
  <si>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</si>
  <si>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</si>
  <si>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</si>
  <si>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</si>
  <si>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</si>
  <si>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</si>
  <si>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</si>
  <si>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</si>
  <si>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</si>
  <si>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</si>
  <si>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</si>
  <si>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</si>
  <si>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</si>
  <si>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</si>
  <si>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</si>
  <si>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</si>
  <si>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</si>
  <si>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</si>
  <si>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</si>
  <si>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</si>
  <si>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</si>
  <si>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</si>
  <si>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</si>
  <si>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</si>
  <si>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</si>
  <si>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</si>
  <si>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</si>
  <si>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</si>
  <si>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</si>
  <si>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</si>
  <si>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</si>
  <si>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</si>
  <si>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</si>
  <si>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</si>
  <si>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</si>
  <si>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</si>
  <si>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</si>
  <si>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</si>
  <si>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</si>
  <si>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</si>
  <si>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</si>
  <si>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</si>
  <si>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</si>
  <si>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</si>
  <si>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</si>
  <si>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</si>
  <si>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</si>
  <si>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</si>
  <si>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</si>
  <si>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</si>
  <si>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</si>
  <si>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</si>
  <si>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</si>
  <si>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</si>
  <si>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</si>
  <si>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</si>
  <si>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</si>
  <si>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</si>
  <si>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</si>
  <si>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</si>
  <si>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</si>
  <si>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</si>
  <si>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</si>
  <si>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</si>
  <si>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</si>
  <si>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</si>
  <si>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</si>
  <si>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</si>
  <si>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</si>
  <si>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</si>
  <si>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</si>
  <si>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</si>
  <si>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</si>
  <si>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</si>
  <si>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</si>
  <si>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</si>
  <si>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</si>
  <si>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</si>
  <si>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</si>
  <si>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</si>
  <si>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4*16 мм2</t>
  </si>
  <si>
    <t>ВВГнг-LS 4*95 мм2</t>
  </si>
  <si>
    <t>ВА88-32 3Р 25А 25кА TDM</t>
  </si>
  <si>
    <t>ВА88-32 3Р 16А 25кА TDM</t>
  </si>
  <si>
    <t>ВА88-32 3Р 32А 25кА TDM</t>
  </si>
  <si>
    <t>ВА88-32 3Р 100А 35кА TDM</t>
  </si>
  <si>
    <t>ВА88-32 3Р 160А 35кА TDM</t>
  </si>
  <si>
    <t>ВА88-32 3Р 250А 35кА TDM</t>
  </si>
  <si>
    <t>Итого ШР 1</t>
  </si>
  <si>
    <t>Итого ШР 2</t>
  </si>
  <si>
    <t>ВВГнг-LS 5*35 мм2</t>
  </si>
  <si>
    <t>ВВГнг-LS 4*35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</si>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</sst>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" sqref="I2:I20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56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8" zoomScale="85" zoomScaleNormal="85" workbookViewId="0">
      <selection activeCell="G46" sqref="G46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17" t="s">
        <v>30</v>
      </c>
      <c r="B1" s="119" t="s">
        <v>31</v>
      </c>
      <c r="C1" s="115" t="s">
        <v>32</v>
      </c>
      <c r="D1" s="115" t="s">
        <v>33</v>
      </c>
      <c r="E1" s="115"/>
      <c r="F1" s="115" t="s">
        <v>36</v>
      </c>
      <c r="G1" s="115" t="s">
        <v>5</v>
      </c>
      <c r="H1" s="115" t="s">
        <v>6</v>
      </c>
      <c r="I1" s="115" t="s">
        <v>37</v>
      </c>
      <c r="J1" s="115" t="s">
        <v>38</v>
      </c>
      <c r="K1" s="115" t="s">
        <v>39</v>
      </c>
      <c r="L1" s="127" t="s">
        <v>40</v>
      </c>
      <c r="M1" s="115" t="s">
        <v>41</v>
      </c>
      <c r="N1" s="127" t="s">
        <v>42</v>
      </c>
      <c r="O1" s="127" t="s">
        <v>43</v>
      </c>
      <c r="P1" s="129" t="s">
        <v>44</v>
      </c>
      <c r="Q1" s="131" t="s">
        <v>45</v>
      </c>
    </row>
    <row r="2" spans="1:18" ht="19.5" thickBot="1" x14ac:dyDescent="0.35">
      <c r="A2" s="118"/>
      <c r="B2" s="120"/>
      <c r="C2" s="116"/>
      <c r="D2" s="29" t="s">
        <v>34</v>
      </c>
      <c r="E2" s="29" t="s">
        <v>35</v>
      </c>
      <c r="F2" s="116"/>
      <c r="G2" s="116"/>
      <c r="H2" s="116"/>
      <c r="I2" s="116"/>
      <c r="J2" s="116"/>
      <c r="K2" s="116"/>
      <c r="L2" s="128"/>
      <c r="M2" s="116"/>
      <c r="N2" s="128"/>
      <c r="O2" s="128"/>
      <c r="P2" s="130"/>
      <c r="Q2" s="132"/>
    </row>
    <row r="3" spans="1:18" ht="19.5" thickBot="1" x14ac:dyDescent="0.35">
      <c r="A3" s="124" t="s">
        <v>136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6"/>
    </row>
    <row r="4" spans="1:18" x14ac:dyDescent="0.3">
      <c r="A4" s="58">
        <v>2</v>
      </c>
      <c r="B4" s="31" t="s">
        <v>51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52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53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54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60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57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58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59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59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148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/>
      <c r="M13" s="30">
        <f>M33</f>
        <v>1.1599999999999999</v>
      </c>
      <c r="N13" s="30">
        <f>I13*M13</f>
        <v>47.817571555555567</v>
      </c>
      <c r="O13" s="30">
        <f>J13*M13</f>
        <v>15.716875718564019</v>
      </c>
      <c r="P13" s="30">
        <f>SQRT(O13*O13+N13*N13)</f>
        <v>50.334285847953218</v>
      </c>
      <c r="Q13" s="38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24" t="s">
        <v>137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6"/>
    </row>
    <row r="15" spans="1:18" x14ac:dyDescent="0.3">
      <c r="A15" s="41">
        <v>6</v>
      </c>
      <c r="B15" s="31" t="s">
        <v>55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61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51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61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62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62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63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64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149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/>
      <c r="M23" s="30">
        <f>M33</f>
        <v>1.1599999999999999</v>
      </c>
      <c r="N23" s="30">
        <f>I23*M23</f>
        <v>40.599854999999998</v>
      </c>
      <c r="O23" s="30">
        <f>J23*M23</f>
        <v>13.344527011066575</v>
      </c>
      <c r="P23" s="30">
        <f>SQRT(O23*O23+N23*N23)</f>
        <v>42.736689473684201</v>
      </c>
      <c r="Q23" s="38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24" t="s">
        <v>46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6"/>
    </row>
    <row r="25" spans="1:18" x14ac:dyDescent="0.3">
      <c r="A25" s="41">
        <v>1</v>
      </c>
      <c r="B25" s="31" t="s">
        <v>65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48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/>
      <c r="M26" s="29">
        <f>M33</f>
        <v>1.1599999999999999</v>
      </c>
      <c r="N26" s="29">
        <f>I26*M26</f>
        <v>4.4543999999999997</v>
      </c>
      <c r="O26" s="29">
        <f>J26*M26</f>
        <v>1.4640904781087281</v>
      </c>
      <c r="P26" s="18">
        <f>SQRT(O36*O26+N26*N26)</f>
        <v>4.4543999999999997</v>
      </c>
      <c r="Q26" s="16">
        <f>P26*1000/(380*SQRT(3))</f>
        <v>6.7677606291533392</v>
      </c>
    </row>
    <row r="27" spans="1:18" ht="19.5" thickBot="1" x14ac:dyDescent="0.35">
      <c r="A27" s="124" t="s">
        <v>49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6"/>
    </row>
    <row r="28" spans="1:18" x14ac:dyDescent="0.3">
      <c r="A28" s="41">
        <v>12</v>
      </c>
      <c r="B28" s="32" t="s">
        <v>66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47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/>
      <c r="M29" s="29">
        <f>M33</f>
        <v>1.1599999999999999</v>
      </c>
      <c r="N29" s="29">
        <f>I29*M29</f>
        <v>1.3688</v>
      </c>
      <c r="O29" s="29">
        <f>J29*M29</f>
        <v>0.44990280316882797</v>
      </c>
      <c r="P29" s="18">
        <f>SQRT(O29*O29+N29*N29)</f>
        <v>1.4408421052631579</v>
      </c>
      <c r="Q29" s="16">
        <f>P29*1000/(380*SQRT(3))</f>
        <v>2.1891330982458723</v>
      </c>
    </row>
    <row r="30" spans="1:18" ht="19.5" thickBot="1" x14ac:dyDescent="0.35">
      <c r="A30" s="124" t="s">
        <v>50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</row>
    <row r="31" spans="1:18" x14ac:dyDescent="0.3">
      <c r="A31" s="41">
        <v>14</v>
      </c>
      <c r="B31" s="31" t="s">
        <v>65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47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/>
      <c r="M32" s="29">
        <f>M33</f>
        <v>1.1599999999999999</v>
      </c>
      <c r="N32" s="29">
        <f>I32*M32</f>
        <v>4.4543999999999997</v>
      </c>
      <c r="O32" s="29">
        <f>J32*M32</f>
        <v>1.4640904781087281</v>
      </c>
      <c r="P32" s="18">
        <f>SQRT(O32*O32+N32*N32)</f>
        <v>4.6888421052631575</v>
      </c>
      <c r="Q32" s="16">
        <f>P32*1000/(380*SQRT(3))</f>
        <v>7.1239585570035153</v>
      </c>
    </row>
    <row r="33" spans="1:18" ht="19.5" thickBot="1" x14ac:dyDescent="0.35">
      <c r="A33" s="39" t="s">
        <v>73</v>
      </c>
      <c r="B33" s="39"/>
      <c r="C33" s="69">
        <f>SUM(C32,C29,C23,C13,C26)</f>
        <v>20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104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21" t="s">
        <v>67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</row>
    <row r="35" spans="1:18" x14ac:dyDescent="0.3">
      <c r="A35" s="5"/>
      <c r="B35" s="48" t="s">
        <v>68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69</v>
      </c>
      <c r="C36" s="66">
        <f>'Расчет освещения'!G4</f>
        <v>10</v>
      </c>
      <c r="D36" s="63">
        <v>8.9999999999999993E-3</v>
      </c>
      <c r="E36" s="7">
        <f t="shared" ref="E36:E38" si="12">C36*D36</f>
        <v>0.09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6.3E-2</v>
      </c>
      <c r="J36" s="7">
        <f t="shared" ref="J36:J40" si="15">I36*H36</f>
        <v>1.2792695619942264E-2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70</v>
      </c>
      <c r="C37" s="66">
        <v>48</v>
      </c>
      <c r="D37" s="63">
        <v>7.0000000000000007E-2</v>
      </c>
      <c r="E37" s="7">
        <f t="shared" si="12"/>
        <v>3.3600000000000003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2.3519999999999999</v>
      </c>
      <c r="J37" s="7">
        <f t="shared" si="15"/>
        <v>0.4775939698111778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71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72</v>
      </c>
      <c r="B39" s="8"/>
      <c r="C39" s="106">
        <f>SUM(C35:C38)</f>
        <v>86</v>
      </c>
      <c r="D39" s="81"/>
      <c r="E39" s="105">
        <f>SUM(E35:E38)</f>
        <v>3.7020000000000004</v>
      </c>
      <c r="F39" s="105">
        <f>AVERAGE(F35:F38)</f>
        <v>0.7</v>
      </c>
      <c r="G39" s="105">
        <f>AVERAGE(G35:G38)</f>
        <v>0.98</v>
      </c>
      <c r="H39" s="105">
        <f>AVERAGE(H35:H38)</f>
        <v>0.20305866063400418</v>
      </c>
      <c r="I39" s="105">
        <f>SUM(I35:I38)</f>
        <v>2.5913999999999997</v>
      </c>
      <c r="J39" s="105">
        <f t="shared" si="15"/>
        <v>0.52620621316695837</v>
      </c>
      <c r="K39" s="105"/>
      <c r="L39" s="105"/>
      <c r="M39" s="105"/>
      <c r="N39" s="105">
        <f>I39</f>
        <v>2.5913999999999997</v>
      </c>
      <c r="O39" s="105">
        <f>J39</f>
        <v>0.52620621316695837</v>
      </c>
      <c r="P39" s="105">
        <f>SQRT(N39*N39+O39*O39)</f>
        <v>2.6442857142857141</v>
      </c>
      <c r="Q39" s="107">
        <f>P39*1000/(220*SQRT(3))</f>
        <v>6.9394503134415411</v>
      </c>
    </row>
    <row r="40" spans="1:18" ht="19.5" thickBot="1" x14ac:dyDescent="0.35">
      <c r="A40" s="8" t="s">
        <v>47</v>
      </c>
      <c r="B40" s="8"/>
      <c r="C40" s="108">
        <f>C39+C33</f>
        <v>106</v>
      </c>
      <c r="D40" s="10"/>
      <c r="E40" s="10"/>
      <c r="F40" s="10"/>
      <c r="G40" s="109">
        <f>(G39*E39+G33*E33)/(E33+E39)</f>
        <v>0.95071627583004381</v>
      </c>
      <c r="H40" s="109">
        <f>(H39*E39+H33*E33)/(E33+E39)</f>
        <v>0.32568468952666219</v>
      </c>
      <c r="I40" s="109">
        <f>I39+I33</f>
        <v>93.93112499999998</v>
      </c>
      <c r="J40" s="100">
        <f t="shared" si="15"/>
        <v>30.591929282515089</v>
      </c>
      <c r="K40" s="100"/>
      <c r="L40" s="100"/>
      <c r="M40" s="100"/>
      <c r="N40" s="100">
        <f>N39+N33</f>
        <v>108.54548099999997</v>
      </c>
      <c r="O40" s="100">
        <f>O39+O33</f>
        <v>35.351628516700735</v>
      </c>
      <c r="P40" s="100">
        <f>SQRT(O40*O40+N40*N40)</f>
        <v>114.15716834392907</v>
      </c>
      <c r="Q40" s="101">
        <f>P40*1000/(380*SQRT(3))</f>
        <v>173.44387335077076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0" sqref="K10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74</v>
      </c>
      <c r="C1" s="10" t="s">
        <v>75</v>
      </c>
      <c r="D1" s="10" t="s">
        <v>76</v>
      </c>
      <c r="E1" s="10" t="s">
        <v>77</v>
      </c>
      <c r="F1" s="24" t="s">
        <v>78</v>
      </c>
      <c r="G1" s="11" t="s">
        <v>79</v>
      </c>
    </row>
    <row r="2" spans="1:7" x14ac:dyDescent="0.3">
      <c r="A2" s="5" t="s">
        <v>70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 t="s">
        <v>175</v>
      </c>
    </row>
    <row r="3" spans="1:7" x14ac:dyDescent="0.3">
      <c r="A3" s="3" t="s">
        <v>68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69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10</v>
      </c>
    </row>
    <row r="5" spans="1:7" ht="19.5" thickBot="1" x14ac:dyDescent="0.35">
      <c r="A5" s="4" t="s">
        <v>71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H31" sqref="H31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7.5546875" bestFit="1" customWidth="1"/>
  </cols>
  <sheetData>
    <row r="1" spans="1:15" ht="19.5" thickBot="1" x14ac:dyDescent="0.35">
      <c r="A1" s="87" t="s">
        <v>94</v>
      </c>
      <c r="B1" s="80" t="s">
        <v>93</v>
      </c>
      <c r="C1" s="81" t="s">
        <v>4</v>
      </c>
      <c r="D1" s="81" t="s">
        <v>81</v>
      </c>
      <c r="E1" s="81" t="s">
        <v>80</v>
      </c>
      <c r="F1" s="81" t="s">
        <v>82</v>
      </c>
      <c r="G1" s="81" t="s">
        <v>84</v>
      </c>
      <c r="H1" s="81" t="s">
        <v>83</v>
      </c>
      <c r="I1" s="81" t="s">
        <v>85</v>
      </c>
      <c r="J1" s="81" t="s">
        <v>86</v>
      </c>
      <c r="K1" s="81" t="s">
        <v>87</v>
      </c>
      <c r="L1" s="81" t="s">
        <v>88</v>
      </c>
      <c r="M1" s="81" t="s">
        <v>89</v>
      </c>
      <c r="N1" s="82" t="s">
        <v>90</v>
      </c>
      <c r="O1" s="78"/>
    </row>
    <row r="2" spans="1:15" ht="19.5" thickBot="1" x14ac:dyDescent="0.35">
      <c r="A2" s="121" t="s">
        <v>136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78"/>
    </row>
    <row r="3" spans="1:15" x14ac:dyDescent="0.3">
      <c r="A3" s="58">
        <v>2</v>
      </c>
      <c r="B3" s="74" t="s">
        <v>51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25</v>
      </c>
      <c r="G3" s="7">
        <f>D3*1.25</f>
        <v>124.72105235134272</v>
      </c>
      <c r="H3" s="70">
        <f>'Ведомость электропотребителей'!I3*'Выбор защиты'!F3</f>
        <v>175</v>
      </c>
      <c r="I3" s="70">
        <v>1</v>
      </c>
      <c r="J3" s="70">
        <f>F3</f>
        <v>25</v>
      </c>
      <c r="K3" s="70">
        <v>104</v>
      </c>
      <c r="L3" s="7" t="s">
        <v>138</v>
      </c>
      <c r="M3" s="7" t="s">
        <v>142</v>
      </c>
      <c r="N3" s="102">
        <f>K3</f>
        <v>104</v>
      </c>
      <c r="O3" s="78"/>
    </row>
    <row r="4" spans="1:15" x14ac:dyDescent="0.3">
      <c r="A4" s="59">
        <v>3</v>
      </c>
      <c r="B4" s="34" t="s">
        <v>52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1">
        <v>16</v>
      </c>
      <c r="G4" s="7">
        <f t="shared" ref="G4:G11" si="1">D4*1.25</f>
        <v>116.61622473243825</v>
      </c>
      <c r="H4" s="91">
        <f>'Ведомость электропотребителей'!I3*F4</f>
        <v>112</v>
      </c>
      <c r="I4" s="70">
        <v>1</v>
      </c>
      <c r="J4" s="70">
        <f t="shared" ref="J4:J12" si="2">F4</f>
        <v>16</v>
      </c>
      <c r="K4" s="70">
        <v>104</v>
      </c>
      <c r="L4" s="7" t="s">
        <v>138</v>
      </c>
      <c r="M4" s="72" t="s">
        <v>143</v>
      </c>
      <c r="N4" s="102">
        <f t="shared" ref="N4:N12" si="3">K4</f>
        <v>104</v>
      </c>
      <c r="O4" s="78"/>
    </row>
    <row r="5" spans="1:15" x14ac:dyDescent="0.3">
      <c r="A5" s="59">
        <v>4</v>
      </c>
      <c r="B5" s="34" t="s">
        <v>135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1">
        <v>32</v>
      </c>
      <c r="G5" s="7">
        <f t="shared" si="1"/>
        <v>220.3360669650539</v>
      </c>
      <c r="H5" s="91">
        <f>'Ведомость электропотребителей'!I5*F5</f>
        <v>224</v>
      </c>
      <c r="I5" s="70">
        <v>1</v>
      </c>
      <c r="J5" s="70">
        <f t="shared" si="2"/>
        <v>32</v>
      </c>
      <c r="K5" s="70">
        <v>104</v>
      </c>
      <c r="L5" s="7" t="s">
        <v>138</v>
      </c>
      <c r="M5" s="72" t="s">
        <v>144</v>
      </c>
      <c r="N5" s="102">
        <f t="shared" si="3"/>
        <v>104</v>
      </c>
      <c r="O5" s="78"/>
    </row>
    <row r="6" spans="1:15" x14ac:dyDescent="0.3">
      <c r="A6" s="59">
        <v>5</v>
      </c>
      <c r="B6" s="34" t="s">
        <v>54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1">
        <v>32</v>
      </c>
      <c r="G6" s="7">
        <f t="shared" si="1"/>
        <v>135.30732695436217</v>
      </c>
      <c r="H6" s="91">
        <f>F6*7</f>
        <v>224</v>
      </c>
      <c r="I6" s="70">
        <v>1</v>
      </c>
      <c r="J6" s="70">
        <f t="shared" si="2"/>
        <v>32</v>
      </c>
      <c r="K6" s="70">
        <v>104</v>
      </c>
      <c r="L6" s="7" t="s">
        <v>138</v>
      </c>
      <c r="M6" s="72" t="s">
        <v>144</v>
      </c>
      <c r="N6" s="102">
        <f t="shared" si="3"/>
        <v>104</v>
      </c>
      <c r="O6" s="78"/>
    </row>
    <row r="7" spans="1:15" x14ac:dyDescent="0.3">
      <c r="A7" s="59">
        <v>10</v>
      </c>
      <c r="B7" s="34" t="s">
        <v>60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1">
        <v>16</v>
      </c>
      <c r="G7" s="7">
        <f t="shared" si="1"/>
        <v>68.414851843030448</v>
      </c>
      <c r="H7" s="91">
        <f t="shared" ref="H7:H12" si="4">7*F7</f>
        <v>112</v>
      </c>
      <c r="I7" s="70">
        <v>1</v>
      </c>
      <c r="J7" s="70">
        <f t="shared" si="2"/>
        <v>16</v>
      </c>
      <c r="K7" s="70">
        <v>104</v>
      </c>
      <c r="L7" s="7" t="s">
        <v>138</v>
      </c>
      <c r="M7" s="72" t="s">
        <v>143</v>
      </c>
      <c r="N7" s="102">
        <f t="shared" si="3"/>
        <v>104</v>
      </c>
      <c r="O7" s="78"/>
    </row>
    <row r="8" spans="1:15" x14ac:dyDescent="0.3">
      <c r="A8" s="59">
        <v>7</v>
      </c>
      <c r="B8" s="34" t="s">
        <v>57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1">
        <v>25</v>
      </c>
      <c r="G8" s="7">
        <f t="shared" si="1"/>
        <v>174.03739679787549</v>
      </c>
      <c r="H8" s="91">
        <f t="shared" si="4"/>
        <v>175</v>
      </c>
      <c r="I8" s="70">
        <v>1</v>
      </c>
      <c r="J8" s="70">
        <f t="shared" si="2"/>
        <v>25</v>
      </c>
      <c r="K8" s="70">
        <v>104</v>
      </c>
      <c r="L8" s="7" t="s">
        <v>138</v>
      </c>
      <c r="M8" s="72" t="s">
        <v>142</v>
      </c>
      <c r="N8" s="102">
        <f t="shared" si="3"/>
        <v>104</v>
      </c>
      <c r="O8" s="78"/>
    </row>
    <row r="9" spans="1:15" x14ac:dyDescent="0.3">
      <c r="A9" s="59">
        <v>8</v>
      </c>
      <c r="B9" s="34" t="s">
        <v>58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1">
        <v>25</v>
      </c>
      <c r="G9" s="7">
        <f t="shared" si="1"/>
        <v>142.79537722339379</v>
      </c>
      <c r="H9" s="91">
        <f t="shared" si="4"/>
        <v>175</v>
      </c>
      <c r="I9" s="70">
        <v>1</v>
      </c>
      <c r="J9" s="70">
        <f t="shared" si="2"/>
        <v>25</v>
      </c>
      <c r="K9" s="70">
        <v>104</v>
      </c>
      <c r="L9" s="7" t="s">
        <v>138</v>
      </c>
      <c r="M9" s="72" t="s">
        <v>142</v>
      </c>
      <c r="N9" s="102">
        <f t="shared" si="3"/>
        <v>104</v>
      </c>
      <c r="O9" s="78"/>
    </row>
    <row r="10" spans="1:15" x14ac:dyDescent="0.3">
      <c r="A10" s="59">
        <v>9</v>
      </c>
      <c r="B10" s="34" t="s">
        <v>92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1">
        <v>25</v>
      </c>
      <c r="G10" s="7">
        <f t="shared" si="1"/>
        <v>167.42155830261856</v>
      </c>
      <c r="H10" s="91">
        <f t="shared" si="4"/>
        <v>175</v>
      </c>
      <c r="I10" s="70">
        <v>1</v>
      </c>
      <c r="J10" s="70">
        <f t="shared" si="2"/>
        <v>25</v>
      </c>
      <c r="K10" s="70">
        <v>104</v>
      </c>
      <c r="L10" s="7" t="s">
        <v>138</v>
      </c>
      <c r="M10" s="72" t="s">
        <v>142</v>
      </c>
      <c r="N10" s="102">
        <f t="shared" si="3"/>
        <v>104</v>
      </c>
      <c r="O10" s="78"/>
    </row>
    <row r="11" spans="1:15" x14ac:dyDescent="0.3">
      <c r="A11" s="60">
        <v>20</v>
      </c>
      <c r="B11" s="35" t="s">
        <v>92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25</v>
      </c>
      <c r="G11" s="7">
        <f t="shared" si="1"/>
        <v>119.94811686765078</v>
      </c>
      <c r="H11" s="71">
        <f t="shared" si="4"/>
        <v>175</v>
      </c>
      <c r="I11" s="70">
        <v>1</v>
      </c>
      <c r="J11" s="70">
        <f t="shared" si="2"/>
        <v>25</v>
      </c>
      <c r="K11" s="70">
        <v>104</v>
      </c>
      <c r="L11" s="7" t="s">
        <v>138</v>
      </c>
      <c r="M11" s="73" t="s">
        <v>142</v>
      </c>
      <c r="N11" s="102">
        <f t="shared" si="3"/>
        <v>104</v>
      </c>
      <c r="O11" s="78"/>
    </row>
    <row r="12" spans="1:15" ht="19.5" thickBot="1" x14ac:dyDescent="0.35">
      <c r="A12" s="60"/>
      <c r="B12" s="35" t="s">
        <v>96</v>
      </c>
      <c r="C12" s="77">
        <f>'Расчет электрических нагрузок'!Q13</f>
        <v>76.475035483640426</v>
      </c>
      <c r="D12" s="73">
        <f>SUM(C3:C11)+MAX(D3:D11)-MAX(C3:C11)</f>
        <v>302.36997766969534</v>
      </c>
      <c r="E12" s="7">
        <f t="shared" si="0"/>
        <v>89.970629980753444</v>
      </c>
      <c r="F12" s="71">
        <v>100</v>
      </c>
      <c r="G12" s="7">
        <f>D12*1.25</f>
        <v>377.96247208711918</v>
      </c>
      <c r="H12" s="71">
        <f t="shared" si="4"/>
        <v>700</v>
      </c>
      <c r="I12" s="70">
        <v>1</v>
      </c>
      <c r="J12" s="70">
        <f t="shared" si="2"/>
        <v>100</v>
      </c>
      <c r="K12" s="70">
        <v>242</v>
      </c>
      <c r="L12" s="73" t="s">
        <v>139</v>
      </c>
      <c r="M12" s="73" t="s">
        <v>145</v>
      </c>
      <c r="N12" s="102">
        <f t="shared" si="3"/>
        <v>242</v>
      </c>
      <c r="O12" s="78"/>
    </row>
    <row r="13" spans="1:15" ht="19.5" thickBot="1" x14ac:dyDescent="0.35">
      <c r="A13" s="121" t="s">
        <v>137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3"/>
      <c r="O13" s="78"/>
    </row>
    <row r="14" spans="1:15" x14ac:dyDescent="0.3">
      <c r="A14" s="41">
        <v>6</v>
      </c>
      <c r="B14" s="74" t="s">
        <v>55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0">
        <f>'Ведомость электропотребителей'!I7*F14</f>
        <v>160</v>
      </c>
      <c r="I14" s="70">
        <v>1</v>
      </c>
      <c r="J14" s="70">
        <f>F14</f>
        <v>32</v>
      </c>
      <c r="K14" s="70">
        <v>78</v>
      </c>
      <c r="L14" s="7" t="s">
        <v>140</v>
      </c>
      <c r="M14" s="7" t="s">
        <v>144</v>
      </c>
      <c r="N14" s="102">
        <f>K14</f>
        <v>78</v>
      </c>
      <c r="O14" s="78"/>
    </row>
    <row r="15" spans="1:15" x14ac:dyDescent="0.3">
      <c r="A15" s="42">
        <v>11</v>
      </c>
      <c r="B15" s="34" t="s">
        <v>61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5">C15/0.85</f>
        <v>26.830747396591377</v>
      </c>
      <c r="F15" s="91">
        <v>32</v>
      </c>
      <c r="G15" s="7">
        <f t="shared" ref="G15:G22" si="6">D15*1.25</f>
        <v>199.55368376214835</v>
      </c>
      <c r="H15" s="91">
        <f>'Ведомость электропотребителей'!I12*F15</f>
        <v>224</v>
      </c>
      <c r="I15" s="70">
        <v>1</v>
      </c>
      <c r="J15" s="70">
        <f t="shared" ref="J15:J22" si="7">F15</f>
        <v>32</v>
      </c>
      <c r="K15" s="70">
        <v>78</v>
      </c>
      <c r="L15" s="7" t="s">
        <v>140</v>
      </c>
      <c r="M15" s="72" t="s">
        <v>144</v>
      </c>
      <c r="N15" s="102">
        <f t="shared" ref="N15:N22" si="8">K15</f>
        <v>78</v>
      </c>
      <c r="O15" s="78"/>
    </row>
    <row r="16" spans="1:15" x14ac:dyDescent="0.3">
      <c r="A16" s="42">
        <v>13</v>
      </c>
      <c r="B16" s="34" t="s">
        <v>51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5"/>
        <v>15.787626831351828</v>
      </c>
      <c r="F16" s="91">
        <v>25</v>
      </c>
      <c r="G16" s="7">
        <f t="shared" si="6"/>
        <v>117.42047455817922</v>
      </c>
      <c r="H16" s="91">
        <f>'Ведомость электропотребителей'!I14*F16</f>
        <v>175</v>
      </c>
      <c r="I16" s="70">
        <v>1</v>
      </c>
      <c r="J16" s="70">
        <f t="shared" si="7"/>
        <v>25</v>
      </c>
      <c r="K16" s="70">
        <v>78</v>
      </c>
      <c r="L16" s="7" t="s">
        <v>140</v>
      </c>
      <c r="M16" s="72" t="s">
        <v>142</v>
      </c>
      <c r="N16" s="102">
        <f t="shared" si="8"/>
        <v>78</v>
      </c>
      <c r="O16" s="78"/>
    </row>
    <row r="17" spans="1:15" x14ac:dyDescent="0.3">
      <c r="A17" s="42">
        <v>15</v>
      </c>
      <c r="B17" s="34" t="s">
        <v>61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5"/>
        <v>9.8364005492856332</v>
      </c>
      <c r="F17" s="91">
        <v>16</v>
      </c>
      <c r="G17" s="7">
        <f t="shared" si="6"/>
        <v>73.158229085311902</v>
      </c>
      <c r="H17" s="91">
        <f>'Ведомость электропотребителей'!I14*F17</f>
        <v>112</v>
      </c>
      <c r="I17" s="70">
        <v>1</v>
      </c>
      <c r="J17" s="70">
        <f t="shared" si="7"/>
        <v>16</v>
      </c>
      <c r="K17" s="70">
        <v>78</v>
      </c>
      <c r="L17" s="7" t="s">
        <v>140</v>
      </c>
      <c r="M17" s="72" t="s">
        <v>143</v>
      </c>
      <c r="N17" s="102">
        <f t="shared" si="8"/>
        <v>78</v>
      </c>
      <c r="O17" s="78"/>
    </row>
    <row r="18" spans="1:15" x14ac:dyDescent="0.3">
      <c r="A18" s="42">
        <v>16</v>
      </c>
      <c r="B18" s="34" t="s">
        <v>62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5"/>
        <v>14.505353667715907</v>
      </c>
      <c r="F18" s="91">
        <v>16</v>
      </c>
      <c r="G18" s="7">
        <f t="shared" si="6"/>
        <v>107.88356790363706</v>
      </c>
      <c r="H18" s="91">
        <f>'Ведомость электропотребителей'!I17*F18</f>
        <v>112</v>
      </c>
      <c r="I18" s="70">
        <v>1</v>
      </c>
      <c r="J18" s="70">
        <f t="shared" si="7"/>
        <v>16</v>
      </c>
      <c r="K18" s="70">
        <v>78</v>
      </c>
      <c r="L18" s="7" t="s">
        <v>140</v>
      </c>
      <c r="M18" s="72" t="s">
        <v>143</v>
      </c>
      <c r="N18" s="102">
        <f t="shared" si="8"/>
        <v>78</v>
      </c>
      <c r="O18" s="78"/>
    </row>
    <row r="19" spans="1:15" x14ac:dyDescent="0.3">
      <c r="A19" s="42">
        <v>17</v>
      </c>
      <c r="B19" s="34" t="s">
        <v>62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5"/>
        <v>14.471590764182316</v>
      </c>
      <c r="F19" s="91">
        <v>16</v>
      </c>
      <c r="G19" s="7">
        <f t="shared" si="6"/>
        <v>107.63245630860597</v>
      </c>
      <c r="H19" s="91">
        <f>'Ведомость электропотребителей'!I18*F19</f>
        <v>112</v>
      </c>
      <c r="I19" s="70">
        <v>1</v>
      </c>
      <c r="J19" s="70">
        <f t="shared" si="7"/>
        <v>16</v>
      </c>
      <c r="K19" s="70">
        <v>78</v>
      </c>
      <c r="L19" s="7" t="s">
        <v>140</v>
      </c>
      <c r="M19" s="72" t="s">
        <v>143</v>
      </c>
      <c r="N19" s="102">
        <f t="shared" si="8"/>
        <v>78</v>
      </c>
      <c r="O19" s="78"/>
    </row>
    <row r="20" spans="1:15" x14ac:dyDescent="0.3">
      <c r="A20" s="42">
        <v>18</v>
      </c>
      <c r="B20" s="34" t="s">
        <v>63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5"/>
        <v>21.951289361400139</v>
      </c>
      <c r="F20" s="91">
        <v>25</v>
      </c>
      <c r="G20" s="7">
        <f t="shared" si="6"/>
        <v>163.26271462541354</v>
      </c>
      <c r="H20" s="91">
        <f>'Ведомость электропотребителей'!I19*F20</f>
        <v>175</v>
      </c>
      <c r="I20" s="70">
        <v>1</v>
      </c>
      <c r="J20" s="70">
        <f t="shared" si="7"/>
        <v>25</v>
      </c>
      <c r="K20" s="70">
        <v>78</v>
      </c>
      <c r="L20" s="7" t="s">
        <v>140</v>
      </c>
      <c r="M20" s="72" t="s">
        <v>142</v>
      </c>
      <c r="N20" s="102">
        <f t="shared" si="8"/>
        <v>78</v>
      </c>
      <c r="O20" s="78"/>
    </row>
    <row r="21" spans="1:15" x14ac:dyDescent="0.3">
      <c r="A21" s="43">
        <v>19</v>
      </c>
      <c r="B21" s="35" t="s">
        <v>64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5"/>
        <v>13.839765292616089</v>
      </c>
      <c r="F21" s="71">
        <v>16</v>
      </c>
      <c r="G21" s="7">
        <f t="shared" si="6"/>
        <v>102.93325436383216</v>
      </c>
      <c r="H21" s="71">
        <f>'Ведомость электропотребителей'!I20*F21</f>
        <v>112</v>
      </c>
      <c r="I21" s="70">
        <v>1</v>
      </c>
      <c r="J21" s="70">
        <f t="shared" si="7"/>
        <v>16</v>
      </c>
      <c r="K21" s="70">
        <v>78</v>
      </c>
      <c r="L21" s="7" t="s">
        <v>140</v>
      </c>
      <c r="M21" s="73" t="s">
        <v>143</v>
      </c>
      <c r="N21" s="102">
        <f t="shared" si="8"/>
        <v>78</v>
      </c>
      <c r="O21" s="78"/>
    </row>
    <row r="22" spans="1:15" ht="19.5" thickBot="1" x14ac:dyDescent="0.35">
      <c r="A22" s="89"/>
      <c r="B22" s="75" t="s">
        <v>97</v>
      </c>
      <c r="C22" s="77">
        <f>'Расчет электрических нагрузок'!Q23</f>
        <v>64.931682031329004</v>
      </c>
      <c r="D22" s="73">
        <f>SUM(C14:C21)+MAX(D14:D21)-MAX(C14:C21)</f>
        <v>258.12534181898576</v>
      </c>
      <c r="E22" s="7">
        <f t="shared" si="5"/>
        <v>76.390214154504719</v>
      </c>
      <c r="F22" s="71">
        <v>100</v>
      </c>
      <c r="G22" s="7">
        <f t="shared" si="6"/>
        <v>322.65667727373221</v>
      </c>
      <c r="H22" s="71">
        <f>7*F22</f>
        <v>700</v>
      </c>
      <c r="I22" s="70">
        <v>1</v>
      </c>
      <c r="J22" s="70">
        <f t="shared" si="7"/>
        <v>100</v>
      </c>
      <c r="K22" s="70">
        <f>158</f>
        <v>158</v>
      </c>
      <c r="L22" s="7" t="s">
        <v>150</v>
      </c>
      <c r="M22" s="73" t="s">
        <v>145</v>
      </c>
      <c r="N22" s="102">
        <f t="shared" si="8"/>
        <v>158</v>
      </c>
      <c r="O22" s="78"/>
    </row>
    <row r="23" spans="1:15" ht="19.5" thickBot="1" x14ac:dyDescent="0.35">
      <c r="A23" s="121" t="s">
        <v>91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78"/>
    </row>
    <row r="24" spans="1:15" x14ac:dyDescent="0.3">
      <c r="A24" s="88">
        <v>1</v>
      </c>
      <c r="B24" s="83" t="s">
        <v>65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0">
        <f>F24*'Ведомость электропотребителей'!I2</f>
        <v>250</v>
      </c>
      <c r="I24" s="70">
        <v>1</v>
      </c>
      <c r="J24" s="70">
        <f>F24</f>
        <v>100</v>
      </c>
      <c r="K24" s="70">
        <v>78</v>
      </c>
      <c r="L24" s="7" t="s">
        <v>140</v>
      </c>
      <c r="M24" s="7" t="s">
        <v>145</v>
      </c>
      <c r="N24" s="102">
        <f>K24</f>
        <v>78</v>
      </c>
      <c r="O24" s="78"/>
    </row>
    <row r="25" spans="1:15" x14ac:dyDescent="0.3">
      <c r="A25" s="88">
        <v>12</v>
      </c>
      <c r="B25" s="79" t="s">
        <v>66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1">
        <f>160</f>
        <v>160</v>
      </c>
      <c r="G25" s="7">
        <f t="shared" ref="G25:G26" si="9">D25*1.25</f>
        <v>550.42858073710852</v>
      </c>
      <c r="H25" s="91">
        <f>F25*'Ведомость электропотребителей'!I13</f>
        <v>560</v>
      </c>
      <c r="I25" s="70">
        <v>1</v>
      </c>
      <c r="J25" s="70">
        <f t="shared" ref="J25:J26" si="10">F25</f>
        <v>160</v>
      </c>
      <c r="K25" s="70">
        <v>127</v>
      </c>
      <c r="L25" s="72" t="s">
        <v>151</v>
      </c>
      <c r="M25" s="72" t="s">
        <v>146</v>
      </c>
      <c r="N25" s="102">
        <f t="shared" ref="N25:N26" si="11">K25</f>
        <v>127</v>
      </c>
      <c r="O25" s="78"/>
    </row>
    <row r="26" spans="1:15" ht="19.5" thickBot="1" x14ac:dyDescent="0.35">
      <c r="A26" s="88">
        <v>14</v>
      </c>
      <c r="B26" s="84" t="s">
        <v>65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9"/>
        <v>182.77808284594408</v>
      </c>
      <c r="H26" s="71">
        <f>F26*'Ведомость электропотребителей'!I15</f>
        <v>250</v>
      </c>
      <c r="I26" s="70">
        <v>1</v>
      </c>
      <c r="J26" s="70">
        <f t="shared" si="10"/>
        <v>100</v>
      </c>
      <c r="K26" s="70">
        <v>78</v>
      </c>
      <c r="L26" s="7" t="s">
        <v>140</v>
      </c>
      <c r="M26" s="73" t="s">
        <v>145</v>
      </c>
      <c r="N26" s="102">
        <f t="shared" si="11"/>
        <v>78</v>
      </c>
      <c r="O26" s="78"/>
    </row>
    <row r="27" spans="1:15" ht="19.5" thickBot="1" x14ac:dyDescent="0.35">
      <c r="A27" s="121" t="s">
        <v>95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3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698.72755512606045</v>
      </c>
      <c r="E28" s="86">
        <f>C28/0.85</f>
        <v>199.35674494733388</v>
      </c>
      <c r="F28" s="92">
        <v>250</v>
      </c>
      <c r="G28" s="86">
        <f>D28*1.25</f>
        <v>873.40944390757556</v>
      </c>
      <c r="H28" s="92">
        <f>7*F28</f>
        <v>1750</v>
      </c>
      <c r="I28" s="92">
        <v>1</v>
      </c>
      <c r="J28" s="92">
        <f>F28</f>
        <v>250</v>
      </c>
      <c r="K28" s="92">
        <v>242</v>
      </c>
      <c r="L28" s="86" t="s">
        <v>141</v>
      </c>
      <c r="M28" s="86" t="s">
        <v>147</v>
      </c>
      <c r="N28" s="103">
        <f>K28</f>
        <v>242</v>
      </c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I21" sqref="I21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37"/>
      <c r="B1" s="133" t="s">
        <v>129</v>
      </c>
      <c r="C1" s="133" t="s">
        <v>128</v>
      </c>
      <c r="D1" s="133" t="s">
        <v>127</v>
      </c>
      <c r="E1" s="133" t="s">
        <v>109</v>
      </c>
      <c r="F1" s="133"/>
      <c r="G1" s="133" t="s">
        <v>125</v>
      </c>
      <c r="H1" s="133" t="s">
        <v>131</v>
      </c>
      <c r="I1" s="133" t="s">
        <v>132</v>
      </c>
      <c r="J1" s="133" t="s">
        <v>133</v>
      </c>
      <c r="K1" s="133" t="s">
        <v>130</v>
      </c>
      <c r="L1" s="135" t="s">
        <v>110</v>
      </c>
    </row>
    <row r="2" spans="1:12" x14ac:dyDescent="0.3">
      <c r="A2" s="138"/>
      <c r="B2" s="134"/>
      <c r="C2" s="134"/>
      <c r="D2" s="134"/>
      <c r="E2" s="94" t="s">
        <v>126</v>
      </c>
      <c r="F2" s="94" t="s">
        <v>124</v>
      </c>
      <c r="G2" s="134"/>
      <c r="H2" s="134"/>
      <c r="I2" s="134"/>
      <c r="J2" s="134"/>
      <c r="K2" s="134"/>
      <c r="L2" s="136"/>
    </row>
    <row r="3" spans="1:12" x14ac:dyDescent="0.3">
      <c r="A3" s="95" t="s">
        <v>98</v>
      </c>
      <c r="B3" s="93">
        <f>(4.5*400*400)/(100*100000)</f>
        <v>7.1999999999999995E-2</v>
      </c>
      <c r="C3" s="93"/>
      <c r="D3" s="93"/>
      <c r="E3" s="93"/>
      <c r="F3" s="93"/>
      <c r="G3" s="93"/>
      <c r="H3" s="93"/>
      <c r="I3" s="93"/>
      <c r="J3" s="93"/>
      <c r="K3" s="93">
        <f>B3/3</f>
        <v>2.3999999999999997E-2</v>
      </c>
      <c r="L3" s="96"/>
    </row>
    <row r="4" spans="1:12" x14ac:dyDescent="0.3">
      <c r="A4" s="95" t="s">
        <v>134</v>
      </c>
      <c r="B4" s="93">
        <f t="shared" ref="B4:B15" si="0">SQRT(C4*C4+D4*D4)</f>
        <v>1.8762079442321952E-3</v>
      </c>
      <c r="C4" s="93">
        <f xml:space="preserve"> 0.37 * 5 / 1000</f>
        <v>1.8500000000000001E-3</v>
      </c>
      <c r="D4" s="93">
        <f xml:space="preserve"> 0.0625 * 5 / 1000</f>
        <v>3.1250000000000001E-4</v>
      </c>
      <c r="E4" s="93">
        <f>(400/SQRT(3))/(K3+2*B4)</f>
        <v>8321.441585625822</v>
      </c>
      <c r="F4" s="93">
        <f>(400/SQRT(3))/(K3+B4)</f>
        <v>8924.8049085695693</v>
      </c>
      <c r="G4" s="93">
        <v>95</v>
      </c>
      <c r="H4" s="93">
        <v>5</v>
      </c>
      <c r="I4" s="93">
        <f xml:space="preserve"> 0.0037</f>
        <v>3.7000000000000002E-3</v>
      </c>
      <c r="J4" s="93">
        <v>6.3000000000000003E-4</v>
      </c>
      <c r="K4" s="93"/>
      <c r="L4" s="96" t="s">
        <v>111</v>
      </c>
    </row>
    <row r="5" spans="1:12" x14ac:dyDescent="0.3">
      <c r="A5" s="95" t="s">
        <v>113</v>
      </c>
      <c r="B5" s="93">
        <f t="shared" si="0"/>
        <v>1.8762079442321952E-3</v>
      </c>
      <c r="C5" s="93">
        <f>C4</f>
        <v>1.8500000000000001E-3</v>
      </c>
      <c r="D5" s="93">
        <f>D4</f>
        <v>3.1250000000000001E-4</v>
      </c>
      <c r="E5" s="93">
        <f>(400/SQRT(3))/(K3+2*B4+2*B5)</f>
        <v>7330.307595705669</v>
      </c>
      <c r="F5" s="93">
        <f>(400/SQRT(3))/(K3+B4+B5)</f>
        <v>8321.441585625822</v>
      </c>
      <c r="G5" s="93">
        <v>95</v>
      </c>
      <c r="H5" s="93">
        <v>5</v>
      </c>
      <c r="I5" s="93">
        <f t="shared" ref="I5:I6" si="1" xml:space="preserve"> 0.0037</f>
        <v>3.7000000000000002E-3</v>
      </c>
      <c r="J5" s="93">
        <v>6.3000000000000003E-4</v>
      </c>
      <c r="K5" s="93"/>
      <c r="L5" s="96" t="s">
        <v>112</v>
      </c>
    </row>
    <row r="6" spans="1:12" x14ac:dyDescent="0.3">
      <c r="A6" s="95" t="s">
        <v>99</v>
      </c>
      <c r="B6" s="93">
        <f t="shared" si="0"/>
        <v>7.1311786543319759E-3</v>
      </c>
      <c r="C6" s="93">
        <f>0.37*19/1000</f>
        <v>7.0300000000000007E-3</v>
      </c>
      <c r="D6" s="93">
        <f>0.063*19/1000</f>
        <v>1.1970000000000001E-3</v>
      </c>
      <c r="E6" s="93">
        <f>(400/SQRT(3))/(K3+2*B4+2*B5+2*B6)</f>
        <v>5045.9753436889368</v>
      </c>
      <c r="F6" s="93">
        <f>(400/SQRT(3))/(K3+B4+B5+B6)</f>
        <v>6620.3070727853255</v>
      </c>
      <c r="G6" s="93">
        <v>95</v>
      </c>
      <c r="H6" s="93">
        <v>19</v>
      </c>
      <c r="I6" s="93">
        <f t="shared" si="1"/>
        <v>3.7000000000000002E-3</v>
      </c>
      <c r="J6" s="93">
        <v>6.3000000000000003E-4</v>
      </c>
      <c r="K6" s="93"/>
      <c r="L6" s="96" t="s">
        <v>114</v>
      </c>
    </row>
    <row r="7" spans="1:12" x14ac:dyDescent="0.3">
      <c r="A7" s="95" t="s">
        <v>100</v>
      </c>
      <c r="B7" s="93">
        <f>SQRT(C7*C7+D7*D7)</f>
        <v>3.8810512563479491E-2</v>
      </c>
      <c r="C7" s="93">
        <f>1.16 * 33.4 / 1000</f>
        <v>3.8743999999999994E-2</v>
      </c>
      <c r="D7" s="93">
        <f>0.068 * 33.4 / 1000</f>
        <v>2.2711999999999997E-3</v>
      </c>
      <c r="E7" s="93">
        <f>(400/SQRT(3))/(K3+2*B4+2*B5+2*B6+2*B7)</f>
        <v>1871.6545105193513</v>
      </c>
      <c r="F7" s="93">
        <f>(400/SQRT(3))/(K3+B4+B5+B6+B7)</f>
        <v>3133.7662771706646</v>
      </c>
      <c r="G7" s="93">
        <v>35</v>
      </c>
      <c r="H7" s="93">
        <v>53.6</v>
      </c>
      <c r="I7" s="93">
        <v>1.1599999999999999E-2</v>
      </c>
      <c r="J7" s="93">
        <f>0.00068</f>
        <v>6.8000000000000005E-4</v>
      </c>
      <c r="K7" s="93"/>
      <c r="L7" s="96" t="s">
        <v>117</v>
      </c>
    </row>
    <row r="8" spans="1:12" x14ac:dyDescent="0.3">
      <c r="A8" s="95" t="s">
        <v>103</v>
      </c>
      <c r="B8" s="93">
        <f t="shared" si="0"/>
        <v>0.19065000000000001</v>
      </c>
      <c r="C8" s="93">
        <f>12.3*15.5/1000</f>
        <v>0.19065000000000001</v>
      </c>
      <c r="D8" s="93">
        <v>0</v>
      </c>
      <c r="E8" s="93">
        <f>(400/SQRT(3))/(K3+2*B4+2*B5+2*B8)</f>
        <v>559.4413870636223</v>
      </c>
      <c r="F8" s="93">
        <f>(400/SQRT(3))/(K3+B4+B8)</f>
        <v>1066.5688457229644</v>
      </c>
      <c r="G8" s="93">
        <v>16</v>
      </c>
      <c r="H8" s="93">
        <v>15.5</v>
      </c>
      <c r="I8" s="93">
        <v>1.23E-2</v>
      </c>
      <c r="J8" s="93">
        <v>0</v>
      </c>
      <c r="K8" s="93"/>
      <c r="L8" s="96" t="s">
        <v>116</v>
      </c>
    </row>
    <row r="9" spans="1:12" x14ac:dyDescent="0.3">
      <c r="A9" s="95" t="s">
        <v>102</v>
      </c>
      <c r="B9" s="93">
        <f t="shared" si="0"/>
        <v>0.38991000000000003</v>
      </c>
      <c r="C9" s="93">
        <f>12.3*31.7/1000</f>
        <v>0.38991000000000003</v>
      </c>
      <c r="D9" s="93">
        <v>0</v>
      </c>
      <c r="E9" s="93">
        <f>(400/SQRT(3))/(K3+2*B4+2*B5+2*B9)</f>
        <v>284.64567905564434</v>
      </c>
      <c r="F9" s="93">
        <f>(400/SQRT(3))/(K3+B4+B9)</f>
        <v>555.42993794259144</v>
      </c>
      <c r="G9" s="93">
        <v>35</v>
      </c>
      <c r="H9" s="93">
        <v>31.7</v>
      </c>
      <c r="I9" s="93">
        <v>1.23E-2</v>
      </c>
      <c r="J9" s="93">
        <v>0</v>
      </c>
      <c r="K9" s="93"/>
      <c r="L9" s="96" t="s">
        <v>121</v>
      </c>
    </row>
    <row r="10" spans="1:12" x14ac:dyDescent="0.3">
      <c r="A10" s="95" t="s">
        <v>104</v>
      </c>
      <c r="B10" s="93">
        <f t="shared" si="0"/>
        <v>0.15621000000000002</v>
      </c>
      <c r="C10" s="93">
        <f>12.3*12.7/1000</f>
        <v>0.15621000000000002</v>
      </c>
      <c r="D10" s="93">
        <v>0</v>
      </c>
      <c r="E10" s="93">
        <f>(400/SQRT(3))/(K3+2*B4+2*B5+2*B10)</f>
        <v>671.48424986550299</v>
      </c>
      <c r="F10" s="93">
        <f>(400/SQRT(3))/(K3+B4+B10)</f>
        <v>1268.3009343935632</v>
      </c>
      <c r="G10" s="93">
        <v>16</v>
      </c>
      <c r="H10" s="93">
        <v>12.7</v>
      </c>
      <c r="I10" s="93">
        <v>1.23E-2</v>
      </c>
      <c r="J10" s="93">
        <v>0</v>
      </c>
      <c r="K10" s="93"/>
      <c r="L10" s="96" t="s">
        <v>118</v>
      </c>
    </row>
    <row r="11" spans="1:12" x14ac:dyDescent="0.3">
      <c r="A11" s="95" t="s">
        <v>101</v>
      </c>
      <c r="B11" s="93">
        <f t="shared" si="0"/>
        <v>9.2499999999999999E-2</v>
      </c>
      <c r="C11" s="93">
        <f>18.5*5/1000</f>
        <v>9.2499999999999999E-2</v>
      </c>
      <c r="D11" s="93">
        <v>0</v>
      </c>
      <c r="E11" s="93">
        <f>(400/SQRT(3))/(K3+2*B4+2*B5+2*B6+2*B11)</f>
        <v>1000.7493205205765</v>
      </c>
      <c r="F11" s="93">
        <f>(400/SQRT(3))/(K3+B4+B5+B6+B11)</f>
        <v>1812.9501566095521</v>
      </c>
      <c r="G11" s="93">
        <v>25</v>
      </c>
      <c r="H11" s="93">
        <v>5</v>
      </c>
      <c r="I11" s="93">
        <v>1.8499999999999999E-2</v>
      </c>
      <c r="J11" s="93">
        <v>0</v>
      </c>
      <c r="K11" s="93"/>
      <c r="L11" s="96" t="s">
        <v>119</v>
      </c>
    </row>
    <row r="12" spans="1:12" x14ac:dyDescent="0.3">
      <c r="A12" s="95" t="s">
        <v>105</v>
      </c>
      <c r="B12" s="93">
        <f t="shared" si="0"/>
        <v>9.2499999999999999E-2</v>
      </c>
      <c r="C12" s="93">
        <f>18.5*5/1000</f>
        <v>9.2499999999999999E-2</v>
      </c>
      <c r="D12" s="93">
        <v>0</v>
      </c>
      <c r="E12" s="93">
        <f>(400/SQRT(3))/(K3+2*B4+2*B5+2*B7+2*B11)</f>
        <v>785.174449151933</v>
      </c>
      <c r="F12" s="93">
        <f>(400/SQRT(3))/(K3+B4+B5+B7+B11)</f>
        <v>1451.8788879561087</v>
      </c>
      <c r="G12" s="93">
        <v>16</v>
      </c>
      <c r="H12" s="93">
        <v>5</v>
      </c>
      <c r="I12" s="93">
        <v>1.8499999999999999E-2</v>
      </c>
      <c r="J12" s="93">
        <v>0</v>
      </c>
      <c r="K12" s="93"/>
      <c r="L12" s="96" t="s">
        <v>115</v>
      </c>
    </row>
    <row r="13" spans="1:12" x14ac:dyDescent="0.3">
      <c r="A13" s="95" t="s">
        <v>106</v>
      </c>
      <c r="B13" s="93">
        <f t="shared" si="0"/>
        <v>6.1499999999999999E-2</v>
      </c>
      <c r="C13" s="93">
        <f>12.3*5/1000</f>
        <v>6.1499999999999999E-2</v>
      </c>
      <c r="D13" s="93">
        <v>0</v>
      </c>
      <c r="E13" s="93">
        <f>(400/SQRT(3))/(K3+2*B4+2*B5+2*B8+2*B13)</f>
        <v>431.01535107469397</v>
      </c>
      <c r="F13" s="93">
        <f>(400/SQRT(3))/(K3+B4+B5+B8+B13)</f>
        <v>825.07364912446985</v>
      </c>
      <c r="G13" s="93">
        <v>10</v>
      </c>
      <c r="H13" s="93">
        <v>5</v>
      </c>
      <c r="I13" s="93">
        <v>1.23E-2</v>
      </c>
      <c r="J13" s="93">
        <v>0</v>
      </c>
      <c r="K13" s="93"/>
      <c r="L13" s="96" t="s">
        <v>120</v>
      </c>
    </row>
    <row r="14" spans="1:12" x14ac:dyDescent="0.3">
      <c r="A14" s="95" t="s">
        <v>107</v>
      </c>
      <c r="B14" s="93">
        <f t="shared" si="0"/>
        <v>6.1499999999999999E-2</v>
      </c>
      <c r="C14" s="93">
        <f t="shared" ref="C14:C15" si="2">12.3*5/1000</f>
        <v>6.1499999999999999E-2</v>
      </c>
      <c r="D14" s="93">
        <v>0</v>
      </c>
      <c r="E14" s="93">
        <f>(400/SQRT(3))/(K3+2*B4+2*B5+2*B9+2*B14)</f>
        <v>247.17325262204693</v>
      </c>
      <c r="F14" s="93">
        <f>(400/SQRT(3))/(K3+B4+B5+B9+B14)</f>
        <v>481.96623945899529</v>
      </c>
      <c r="G14" s="93">
        <v>6</v>
      </c>
      <c r="H14" s="93">
        <v>5</v>
      </c>
      <c r="I14" s="93">
        <v>1.23E-2</v>
      </c>
      <c r="J14" s="93">
        <v>0</v>
      </c>
      <c r="K14" s="93"/>
      <c r="L14" s="96" t="s">
        <v>123</v>
      </c>
    </row>
    <row r="15" spans="1:12" ht="19.5" thickBot="1" x14ac:dyDescent="0.35">
      <c r="A15" s="97" t="s">
        <v>108</v>
      </c>
      <c r="B15" s="98">
        <f t="shared" si="0"/>
        <v>6.1499999999999999E-2</v>
      </c>
      <c r="C15" s="98">
        <f t="shared" si="2"/>
        <v>6.1499999999999999E-2</v>
      </c>
      <c r="D15" s="98">
        <v>0</v>
      </c>
      <c r="E15" s="98">
        <f>(400/SQRT(3))/(K3+2*B4+2*B5+2*B10+2*B15)</f>
        <v>494.59804225229323</v>
      </c>
      <c r="F15" s="98">
        <f>(400/SQRT(3))/(K3+B4+B5+B10+B15)</f>
        <v>940.83693766294198</v>
      </c>
      <c r="G15" s="98">
        <v>10</v>
      </c>
      <c r="H15" s="98">
        <v>5</v>
      </c>
      <c r="I15" s="98">
        <v>1.23E-2</v>
      </c>
      <c r="J15" s="98">
        <v>0</v>
      </c>
      <c r="K15" s="98"/>
      <c r="L15" s="99" t="s">
        <v>122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110" t="s">
        <v>152</v>
      </c>
      <c r="B1" s="110" t="s">
        <v>153</v>
      </c>
      <c r="C1" s="111" t="s">
        <v>154</v>
      </c>
    </row>
    <row r="2" spans="1:3" x14ac:dyDescent="0.3">
      <c r="A2" s="139">
        <v>1</v>
      </c>
      <c r="B2" s="112">
        <v>4</v>
      </c>
      <c r="C2" s="112" t="s">
        <v>155</v>
      </c>
    </row>
    <row r="3" spans="1:3" x14ac:dyDescent="0.3">
      <c r="A3" s="140"/>
      <c r="B3" s="113">
        <v>6</v>
      </c>
      <c r="C3" s="113" t="s">
        <v>156</v>
      </c>
    </row>
    <row r="4" spans="1:3" x14ac:dyDescent="0.3">
      <c r="A4" s="140"/>
      <c r="B4" s="113">
        <v>10</v>
      </c>
      <c r="C4" s="113" t="s">
        <v>157</v>
      </c>
    </row>
    <row r="5" spans="1:3" x14ac:dyDescent="0.3">
      <c r="A5" s="140"/>
      <c r="B5" s="113">
        <v>20</v>
      </c>
      <c r="C5" s="113" t="s">
        <v>158</v>
      </c>
    </row>
    <row r="6" spans="1:3" x14ac:dyDescent="0.3">
      <c r="A6" s="140"/>
      <c r="B6" s="113">
        <v>40</v>
      </c>
      <c r="C6" s="113" t="s">
        <v>159</v>
      </c>
    </row>
    <row r="7" spans="1:3" x14ac:dyDescent="0.3">
      <c r="A7" s="140"/>
      <c r="B7" s="113">
        <v>50</v>
      </c>
      <c r="C7" s="113" t="s">
        <v>160</v>
      </c>
    </row>
    <row r="8" spans="1:3" ht="19.5" thickBot="1" x14ac:dyDescent="0.35">
      <c r="A8" s="141"/>
      <c r="B8" s="114">
        <v>100</v>
      </c>
      <c r="C8" s="114" t="s">
        <v>161</v>
      </c>
    </row>
    <row r="9" spans="1:3" x14ac:dyDescent="0.3">
      <c r="A9" s="139">
        <v>2</v>
      </c>
      <c r="B9" s="112">
        <v>4</v>
      </c>
      <c r="C9" s="112" t="s">
        <v>162</v>
      </c>
    </row>
    <row r="10" spans="1:3" x14ac:dyDescent="0.3">
      <c r="A10" s="140"/>
      <c r="B10" s="113">
        <v>6</v>
      </c>
      <c r="C10" s="113" t="s">
        <v>163</v>
      </c>
    </row>
    <row r="11" spans="1:3" x14ac:dyDescent="0.3">
      <c r="A11" s="140"/>
      <c r="B11" s="113">
        <v>10</v>
      </c>
      <c r="C11" s="113" t="s">
        <v>164</v>
      </c>
    </row>
    <row r="12" spans="1:3" x14ac:dyDescent="0.3">
      <c r="A12" s="140"/>
      <c r="B12" s="113">
        <v>20</v>
      </c>
      <c r="C12" s="113" t="s">
        <v>165</v>
      </c>
    </row>
    <row r="13" spans="1:3" x14ac:dyDescent="0.3">
      <c r="A13" s="140"/>
      <c r="B13" s="113">
        <v>40</v>
      </c>
      <c r="C13" s="113" t="s">
        <v>166</v>
      </c>
    </row>
    <row r="14" spans="1:3" x14ac:dyDescent="0.3">
      <c r="A14" s="140"/>
      <c r="B14" s="113">
        <v>50</v>
      </c>
      <c r="C14" s="113" t="s">
        <v>157</v>
      </c>
    </row>
    <row r="15" spans="1:3" ht="19.5" thickBot="1" x14ac:dyDescent="0.35">
      <c r="A15" s="141"/>
      <c r="B15" s="114">
        <v>100</v>
      </c>
      <c r="C15" s="114" t="s">
        <v>167</v>
      </c>
    </row>
    <row r="16" spans="1:3" x14ac:dyDescent="0.3">
      <c r="A16" s="139">
        <v>3</v>
      </c>
      <c r="B16" s="112">
        <v>4</v>
      </c>
      <c r="C16" s="112" t="s">
        <v>168</v>
      </c>
    </row>
    <row r="17" spans="1:3" x14ac:dyDescent="0.3">
      <c r="A17" s="140"/>
      <c r="B17" s="113">
        <v>6</v>
      </c>
      <c r="C17" s="113" t="s">
        <v>169</v>
      </c>
    </row>
    <row r="18" spans="1:3" x14ac:dyDescent="0.3">
      <c r="A18" s="140"/>
      <c r="B18" s="113">
        <v>10</v>
      </c>
      <c r="C18" s="113" t="s">
        <v>170</v>
      </c>
    </row>
    <row r="19" spans="1:3" x14ac:dyDescent="0.3">
      <c r="A19" s="140"/>
      <c r="B19" s="113">
        <v>20</v>
      </c>
      <c r="C19" s="113" t="s">
        <v>171</v>
      </c>
    </row>
    <row r="20" spans="1:3" x14ac:dyDescent="0.3">
      <c r="A20" s="140"/>
      <c r="B20" s="113">
        <v>40</v>
      </c>
      <c r="C20" s="113" t="s">
        <v>172</v>
      </c>
    </row>
    <row r="21" spans="1:3" x14ac:dyDescent="0.3">
      <c r="A21" s="140"/>
      <c r="B21" s="113">
        <v>50</v>
      </c>
      <c r="C21" s="113" t="s">
        <v>173</v>
      </c>
    </row>
    <row r="22" spans="1:3" ht="19.5" thickBot="1" x14ac:dyDescent="0.35">
      <c r="A22" s="141"/>
      <c r="B22" s="114">
        <v>100</v>
      </c>
      <c r="C22" s="114" t="s">
        <v>174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2022-11-07T06:13:28Z</dcterms:modified>
</cp:coreProperties>
</file>