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lwil\OneDrive\Desktop\"/>
    </mc:Choice>
  </mc:AlternateContent>
  <xr:revisionPtr revIDLastSave="0" documentId="13_ncr:1_{C35C4302-1BE4-4716-B269-3F119CEEEB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91029"/>
</workbook>
</file>

<file path=xl/calcChain.xml><?xml version="1.0" encoding="utf-8"?>
<calcChain xmlns="http://schemas.openxmlformats.org/spreadsheetml/2006/main">
  <c r="G6" i="7" l="1"/>
  <c r="G5" i="7"/>
  <c r="G6" i="6"/>
  <c r="G5" i="6"/>
  <c r="B5" i="6"/>
  <c r="C5" i="6"/>
  <c r="D5" i="6"/>
  <c r="E5" i="6"/>
  <c r="F5" i="6"/>
  <c r="H5" i="6"/>
  <c r="I5" i="6"/>
  <c r="J5" i="6"/>
  <c r="B6" i="6"/>
  <c r="C6" i="6"/>
  <c r="D6" i="6"/>
  <c r="E6" i="6"/>
  <c r="E8" i="6" s="1"/>
  <c r="F6" i="6"/>
  <c r="F8" i="6" s="1"/>
  <c r="G8" i="6"/>
  <c r="H6" i="6"/>
  <c r="H8" i="6" s="1"/>
  <c r="I6" i="6"/>
  <c r="J6" i="6"/>
  <c r="B8" i="6"/>
  <c r="C8" i="6"/>
  <c r="D8" i="6"/>
  <c r="I8" i="6"/>
  <c r="J8" i="6"/>
  <c r="B89" i="4"/>
  <c r="B8" i="4"/>
  <c r="H133" i="2"/>
  <c r="B17" i="3"/>
  <c r="B19" i="3"/>
  <c r="B18" i="3" s="1"/>
  <c r="D7" i="2"/>
  <c r="E7" i="2" s="1"/>
  <c r="E8" i="2"/>
  <c r="E9" i="2"/>
  <c r="E10" i="2"/>
  <c r="E11" i="2"/>
  <c r="E12" i="2"/>
  <c r="E13" i="2"/>
  <c r="E14" i="2"/>
  <c r="E15" i="2"/>
  <c r="B23" i="2"/>
  <c r="G23" i="4"/>
  <c r="B87" i="2"/>
  <c r="K8" i="6" l="1"/>
  <c r="K6" i="6"/>
  <c r="E16" i="2"/>
  <c r="G39" i="4"/>
  <c r="C87" i="2"/>
  <c r="F8" i="1"/>
  <c r="G8" i="1" s="1"/>
  <c r="F87" i="2" l="1"/>
  <c r="H87" i="2" s="1"/>
  <c r="F88" i="2"/>
  <c r="H88" i="2" s="1"/>
  <c r="F93" i="2"/>
  <c r="H93" i="2" s="1"/>
  <c r="F90" i="2"/>
  <c r="H90" i="2" s="1"/>
  <c r="F94" i="2"/>
  <c r="H94" i="2" s="1"/>
  <c r="F95" i="2"/>
  <c r="F97" i="2"/>
  <c r="F91" i="2"/>
  <c r="H91" i="2" s="1"/>
  <c r="F96" i="2"/>
  <c r="F92" i="2"/>
  <c r="H92" i="2" s="1"/>
  <c r="F89" i="2"/>
  <c r="H89" i="2" s="1"/>
  <c r="H98" i="2" l="1"/>
  <c r="F98" i="2" s="1"/>
  <c r="B94" i="5"/>
  <c r="B95" i="5"/>
  <c r="B96" i="5"/>
  <c r="B97" i="5"/>
  <c r="B98" i="5"/>
  <c r="B99" i="5"/>
  <c r="B100" i="5"/>
  <c r="B101" i="5"/>
  <c r="B83" i="5"/>
  <c r="B84" i="5"/>
  <c r="B85" i="5"/>
  <c r="B86" i="5"/>
  <c r="B87" i="5"/>
  <c r="B88" i="5"/>
  <c r="B89" i="5"/>
  <c r="B90" i="5"/>
  <c r="B91" i="5"/>
  <c r="B72" i="5"/>
  <c r="B73" i="5"/>
  <c r="B74" i="5"/>
  <c r="B75" i="5"/>
  <c r="B76" i="5"/>
  <c r="B77" i="5"/>
  <c r="B78" i="5"/>
  <c r="B79" i="5"/>
  <c r="B80" i="5"/>
  <c r="B62" i="5"/>
  <c r="B63" i="5"/>
  <c r="B64" i="5"/>
  <c r="B65" i="5"/>
  <c r="B66" i="5"/>
  <c r="B67" i="5"/>
  <c r="B68" i="5"/>
  <c r="B69" i="5"/>
  <c r="B52" i="5"/>
  <c r="B53" i="5"/>
  <c r="B54" i="5"/>
  <c r="B55" i="5"/>
  <c r="B56" i="5"/>
  <c r="B57" i="5"/>
  <c r="B58" i="5"/>
  <c r="B59" i="5"/>
  <c r="B41" i="5"/>
  <c r="B42" i="5"/>
  <c r="B43" i="5"/>
  <c r="B44" i="5"/>
  <c r="B45" i="5"/>
  <c r="B46" i="5"/>
  <c r="B47" i="5"/>
  <c r="B48" i="5"/>
  <c r="B49" i="5"/>
  <c r="B28" i="5"/>
  <c r="B29" i="5"/>
  <c r="B30" i="5"/>
  <c r="B31" i="5"/>
  <c r="B32" i="5"/>
  <c r="B33" i="5"/>
  <c r="B34" i="5"/>
  <c r="B35" i="5"/>
  <c r="B36" i="5"/>
  <c r="B37" i="5"/>
  <c r="B38" i="5"/>
  <c r="B19" i="5"/>
  <c r="B20" i="5"/>
  <c r="B21" i="5"/>
  <c r="B22" i="5"/>
  <c r="B23" i="5"/>
  <c r="B24" i="5"/>
  <c r="B25" i="5"/>
  <c r="B9" i="5"/>
  <c r="B10" i="5"/>
  <c r="B11" i="5"/>
  <c r="B12" i="5"/>
  <c r="B13" i="5"/>
  <c r="B14" i="5"/>
  <c r="B15" i="5"/>
  <c r="B16" i="5"/>
  <c r="B34" i="2"/>
  <c r="A18" i="5" s="1"/>
  <c r="I23" i="4"/>
  <c r="F23" i="4"/>
  <c r="C23" i="4"/>
  <c r="I5" i="7"/>
  <c r="F5" i="7"/>
  <c r="C5" i="7"/>
  <c r="B93" i="5"/>
  <c r="B61" i="5"/>
  <c r="B18" i="5"/>
  <c r="B122" i="2"/>
  <c r="A93" i="5" s="1"/>
  <c r="B111" i="2"/>
  <c r="B74" i="2"/>
  <c r="A61" i="5"/>
  <c r="C16" i="2"/>
  <c r="F6" i="1"/>
  <c r="G6" i="1" s="1"/>
  <c r="F7" i="1"/>
  <c r="G7" i="1" s="1"/>
  <c r="F5" i="1"/>
  <c r="C15" i="3" l="1"/>
  <c r="C34" i="2"/>
  <c r="H39" i="4"/>
  <c r="D39" i="4"/>
  <c r="C6" i="7"/>
  <c r="C39" i="4"/>
  <c r="C11" i="6"/>
  <c r="C15" i="6" s="1"/>
  <c r="C14" i="6" s="1"/>
  <c r="B82" i="5"/>
  <c r="B15" i="3"/>
  <c r="F36" i="2" l="1"/>
  <c r="H36" i="2" s="1"/>
  <c r="F40" i="2"/>
  <c r="H40" i="2" s="1"/>
  <c r="F41" i="2"/>
  <c r="H41" i="2" s="1"/>
  <c r="F34" i="2"/>
  <c r="H34" i="2" s="1"/>
  <c r="F38" i="2"/>
  <c r="H38" i="2" s="1"/>
  <c r="F42" i="2"/>
  <c r="H42" i="2" s="1"/>
  <c r="F35" i="2"/>
  <c r="H35" i="2" s="1"/>
  <c r="F39" i="2"/>
  <c r="H39" i="2" s="1"/>
  <c r="F43" i="2"/>
  <c r="H43" i="2" s="1"/>
  <c r="F37" i="2"/>
  <c r="H37" i="2" s="1"/>
  <c r="C8" i="7"/>
  <c r="C10" i="7" s="1"/>
  <c r="C12" i="7" s="1"/>
  <c r="C122" i="2"/>
  <c r="J39" i="4"/>
  <c r="C69" i="5"/>
  <c r="C68" i="5"/>
  <c r="C66" i="5"/>
  <c r="C64" i="5"/>
  <c r="C62" i="5"/>
  <c r="C67" i="5"/>
  <c r="C65" i="5"/>
  <c r="C63" i="5"/>
  <c r="C22" i="5"/>
  <c r="C20" i="5"/>
  <c r="C13" i="6"/>
  <c r="C74" i="2"/>
  <c r="F11" i="6"/>
  <c r="F15" i="6" s="1"/>
  <c r="F39" i="4"/>
  <c r="F6" i="7"/>
  <c r="F8" i="7" s="1"/>
  <c r="F10" i="7" s="1"/>
  <c r="C16" i="6"/>
  <c r="J5" i="7"/>
  <c r="H5" i="7"/>
  <c r="E5" i="7"/>
  <c r="D5" i="7"/>
  <c r="B5" i="7"/>
  <c r="B71" i="5"/>
  <c r="B51" i="5"/>
  <c r="B40" i="5"/>
  <c r="B27" i="5"/>
  <c r="B8" i="5"/>
  <c r="C21" i="5" l="1"/>
  <c r="H44" i="2"/>
  <c r="F44" i="2" s="1"/>
  <c r="C19" i="5"/>
  <c r="F75" i="2"/>
  <c r="H75" i="2" s="1"/>
  <c r="F76" i="2"/>
  <c r="H76" i="2" s="1"/>
  <c r="F81" i="2"/>
  <c r="H81" i="2" s="1"/>
  <c r="F74" i="2"/>
  <c r="H74" i="2" s="1"/>
  <c r="F78" i="2"/>
  <c r="H78" i="2" s="1"/>
  <c r="F82" i="2"/>
  <c r="H82" i="2" s="1"/>
  <c r="F83" i="2"/>
  <c r="H83" i="2" s="1"/>
  <c r="F84" i="2"/>
  <c r="H84" i="2" s="1"/>
  <c r="F85" i="2"/>
  <c r="H85" i="2" s="1"/>
  <c r="F79" i="2"/>
  <c r="H79" i="2" s="1"/>
  <c r="F80" i="2"/>
  <c r="H80" i="2" s="1"/>
  <c r="F77" i="2"/>
  <c r="H77" i="2" s="1"/>
  <c r="F123" i="2"/>
  <c r="H123" i="2" s="1"/>
  <c r="F127" i="2"/>
  <c r="H127" i="2" s="1"/>
  <c r="F126" i="2"/>
  <c r="H126" i="2" s="1"/>
  <c r="F124" i="2"/>
  <c r="H124" i="2" s="1"/>
  <c r="F125" i="2"/>
  <c r="H125" i="2" s="1"/>
  <c r="F122" i="2"/>
  <c r="H122" i="2" s="1"/>
  <c r="F128" i="2"/>
  <c r="H128" i="2" s="1"/>
  <c r="F129" i="2"/>
  <c r="H129" i="2" s="1"/>
  <c r="F130" i="2"/>
  <c r="H130" i="2" s="1"/>
  <c r="C23" i="5"/>
  <c r="C24" i="5"/>
  <c r="C25" i="5"/>
  <c r="C13" i="7"/>
  <c r="C11" i="7"/>
  <c r="C96" i="5"/>
  <c r="C99" i="5"/>
  <c r="C100" i="5"/>
  <c r="C111" i="2"/>
  <c r="I39" i="4"/>
  <c r="C61" i="5"/>
  <c r="G61" i="5" s="1"/>
  <c r="G65" i="5"/>
  <c r="F65" i="5" s="1"/>
  <c r="D65" i="5"/>
  <c r="D64" i="5"/>
  <c r="G64" i="5"/>
  <c r="F64" i="5" s="1"/>
  <c r="D68" i="5"/>
  <c r="G68" i="5"/>
  <c r="F68" i="5" s="1"/>
  <c r="G63" i="5"/>
  <c r="F63" i="5" s="1"/>
  <c r="D63" i="5"/>
  <c r="G67" i="5"/>
  <c r="F67" i="5" s="1"/>
  <c r="D67" i="5"/>
  <c r="D62" i="5"/>
  <c r="G62" i="5"/>
  <c r="F62" i="5" s="1"/>
  <c r="D66" i="5"/>
  <c r="G66" i="5"/>
  <c r="F66" i="5" s="1"/>
  <c r="D69" i="5"/>
  <c r="G69" i="5"/>
  <c r="F69" i="5" s="1"/>
  <c r="D19" i="5"/>
  <c r="D20" i="5"/>
  <c r="D23" i="5"/>
  <c r="D21" i="5"/>
  <c r="D24" i="5"/>
  <c r="C18" i="5"/>
  <c r="D22" i="5"/>
  <c r="D25" i="5"/>
  <c r="I6" i="7"/>
  <c r="I11" i="6"/>
  <c r="I15" i="6" s="1"/>
  <c r="I16" i="6" s="1"/>
  <c r="F13" i="7"/>
  <c r="F12" i="7"/>
  <c r="F11" i="7"/>
  <c r="F16" i="6"/>
  <c r="F13" i="6"/>
  <c r="F14" i="6"/>
  <c r="B59" i="2"/>
  <c r="A40" i="5" s="1"/>
  <c r="C97" i="5" l="1"/>
  <c r="C95" i="5"/>
  <c r="H86" i="2"/>
  <c r="F86" i="2" s="1"/>
  <c r="H131" i="2"/>
  <c r="F131" i="2" s="1"/>
  <c r="F111" i="2"/>
  <c r="H111" i="2" s="1"/>
  <c r="F115" i="2"/>
  <c r="H115" i="2" s="1"/>
  <c r="F119" i="2"/>
  <c r="H119" i="2" s="1"/>
  <c r="F113" i="2"/>
  <c r="H113" i="2" s="1"/>
  <c r="F118" i="2"/>
  <c r="H118" i="2" s="1"/>
  <c r="F116" i="2"/>
  <c r="H116" i="2" s="1"/>
  <c r="F112" i="2"/>
  <c r="H112" i="2" s="1"/>
  <c r="F120" i="2"/>
  <c r="H120" i="2" s="1"/>
  <c r="F117" i="2"/>
  <c r="H117" i="2" s="1"/>
  <c r="F114" i="2"/>
  <c r="H114" i="2" s="1"/>
  <c r="C98" i="5"/>
  <c r="C101" i="5"/>
  <c r="C94" i="5"/>
  <c r="D101" i="5"/>
  <c r="G101" i="5" s="1"/>
  <c r="D99" i="5"/>
  <c r="G99" i="5" s="1"/>
  <c r="F99" i="5" s="1"/>
  <c r="D96" i="5"/>
  <c r="G96" i="5" s="1"/>
  <c r="F96" i="5" s="1"/>
  <c r="C93" i="5"/>
  <c r="D100" i="5"/>
  <c r="G100" i="5" s="1"/>
  <c r="F100" i="5" s="1"/>
  <c r="D95" i="5"/>
  <c r="G95" i="5" s="1"/>
  <c r="F95" i="5" s="1"/>
  <c r="D94" i="5"/>
  <c r="G94" i="5" s="1"/>
  <c r="D97" i="5"/>
  <c r="G97" i="5" s="1"/>
  <c r="F97" i="5" s="1"/>
  <c r="I8" i="7"/>
  <c r="I10" i="7" s="1"/>
  <c r="I12" i="7" s="1"/>
  <c r="C24" i="4"/>
  <c r="G24" i="4"/>
  <c r="G22" i="5"/>
  <c r="F22" i="5" s="1"/>
  <c r="G21" i="5"/>
  <c r="F21" i="5" s="1"/>
  <c r="G23" i="5"/>
  <c r="F23" i="5" s="1"/>
  <c r="G25" i="5"/>
  <c r="F25" i="5" s="1"/>
  <c r="G24" i="5"/>
  <c r="F24" i="5" s="1"/>
  <c r="G20" i="5"/>
  <c r="F20" i="5" s="1"/>
  <c r="G19" i="5"/>
  <c r="F19" i="5" s="1"/>
  <c r="I13" i="6"/>
  <c r="I14" i="6"/>
  <c r="D93" i="5"/>
  <c r="G93" i="5" s="1"/>
  <c r="D61" i="5"/>
  <c r="F61" i="5"/>
  <c r="G70" i="5"/>
  <c r="F70" i="5" s="1"/>
  <c r="D18" i="5"/>
  <c r="G18" i="5" s="1"/>
  <c r="J6" i="7"/>
  <c r="J8" i="7" s="1"/>
  <c r="J10" i="7" s="1"/>
  <c r="J11" i="6"/>
  <c r="J15" i="6" s="1"/>
  <c r="C99" i="2"/>
  <c r="H6" i="7"/>
  <c r="H8" i="7" s="1"/>
  <c r="H10" i="7" s="1"/>
  <c r="H11" i="6"/>
  <c r="H15" i="6" s="1"/>
  <c r="J23" i="2"/>
  <c r="N50" i="4"/>
  <c r="N51" i="4" s="1"/>
  <c r="B23" i="4"/>
  <c r="J23" i="4"/>
  <c r="A82" i="5"/>
  <c r="B99" i="2"/>
  <c r="E23" i="4"/>
  <c r="E44" i="4" s="1"/>
  <c r="B45" i="2"/>
  <c r="G5" i="1"/>
  <c r="N46" i="4"/>
  <c r="N53" i="4" s="1"/>
  <c r="L47" i="4"/>
  <c r="N47" i="4"/>
  <c r="E48" i="4"/>
  <c r="E49" i="4"/>
  <c r="B59" i="4"/>
  <c r="B60" i="4" s="1"/>
  <c r="B61" i="4" s="1"/>
  <c r="D59" i="4"/>
  <c r="D60" i="4" s="1"/>
  <c r="D61" i="4" s="1"/>
  <c r="E59" i="4"/>
  <c r="E60" i="4" s="1"/>
  <c r="E61" i="4" s="1"/>
  <c r="G59" i="4"/>
  <c r="G60" i="4" s="1"/>
  <c r="G61" i="4" s="1"/>
  <c r="H59" i="4"/>
  <c r="H60" i="4" s="1"/>
  <c r="H61" i="4" s="1"/>
  <c r="L59" i="4"/>
  <c r="L60" i="4" s="1"/>
  <c r="N59" i="4"/>
  <c r="N60" i="4" s="1"/>
  <c r="N61" i="4" s="1"/>
  <c r="G89" i="4"/>
  <c r="G90" i="4"/>
  <c r="N49" i="4"/>
  <c r="L46" i="4"/>
  <c r="L52" i="4" s="1"/>
  <c r="N48" i="4"/>
  <c r="B47" i="4"/>
  <c r="D47" i="4"/>
  <c r="H47" i="4"/>
  <c r="G47" i="4"/>
  <c r="E47" i="4"/>
  <c r="B49" i="4"/>
  <c r="H49" i="4"/>
  <c r="L49" i="4"/>
  <c r="H48" i="4"/>
  <c r="D49" i="4"/>
  <c r="L48" i="4"/>
  <c r="G49" i="4"/>
  <c r="D48" i="4"/>
  <c r="B48" i="4"/>
  <c r="G48" i="4"/>
  <c r="C89" i="5" l="1"/>
  <c r="F101" i="5"/>
  <c r="F99" i="2"/>
  <c r="H99" i="2" s="1"/>
  <c r="F103" i="2"/>
  <c r="H103" i="2" s="1"/>
  <c r="F107" i="2"/>
  <c r="H107" i="2" s="1"/>
  <c r="F101" i="2"/>
  <c r="H101" i="2" s="1"/>
  <c r="F106" i="2"/>
  <c r="H106" i="2" s="1"/>
  <c r="F100" i="2"/>
  <c r="H100" i="2" s="1"/>
  <c r="F108" i="2"/>
  <c r="H108" i="2" s="1"/>
  <c r="F109" i="2"/>
  <c r="H109" i="2" s="1"/>
  <c r="F104" i="2"/>
  <c r="H104" i="2" s="1"/>
  <c r="F105" i="2"/>
  <c r="H105" i="2" s="1"/>
  <c r="F102" i="2"/>
  <c r="H102" i="2" s="1"/>
  <c r="H121" i="2"/>
  <c r="F121" i="2" s="1"/>
  <c r="F94" i="5"/>
  <c r="C83" i="5"/>
  <c r="C30" i="4"/>
  <c r="C29" i="4"/>
  <c r="C27" i="4"/>
  <c r="C28" i="4" s="1"/>
  <c r="C26" i="4"/>
  <c r="C25" i="4"/>
  <c r="G30" i="4"/>
  <c r="G29" i="4"/>
  <c r="G27" i="4"/>
  <c r="G28" i="4" s="1"/>
  <c r="G26" i="4"/>
  <c r="G25" i="4"/>
  <c r="C91" i="5"/>
  <c r="C7" i="3"/>
  <c r="E7" i="3" s="1"/>
  <c r="C9" i="3"/>
  <c r="E9" i="3" s="1"/>
  <c r="C11" i="3"/>
  <c r="E11" i="3" s="1"/>
  <c r="C13" i="3"/>
  <c r="E13" i="3" s="1"/>
  <c r="C6" i="3"/>
  <c r="E6" i="3" s="1"/>
  <c r="C8" i="3"/>
  <c r="E8" i="3" s="1"/>
  <c r="C10" i="3"/>
  <c r="E10" i="3" s="1"/>
  <c r="C12" i="3"/>
  <c r="E12" i="3" s="1"/>
  <c r="C14" i="3"/>
  <c r="E14" i="3" s="1"/>
  <c r="D91" i="5"/>
  <c r="G91" i="5" s="1"/>
  <c r="I13" i="7"/>
  <c r="J24" i="4"/>
  <c r="D98" i="5"/>
  <c r="G98" i="5" s="1"/>
  <c r="F98" i="5" s="1"/>
  <c r="I11" i="7"/>
  <c r="F93" i="5"/>
  <c r="D89" i="5"/>
  <c r="D83" i="5"/>
  <c r="C77" i="5"/>
  <c r="C75" i="5"/>
  <c r="C73" i="5"/>
  <c r="F18" i="5"/>
  <c r="G26" i="5"/>
  <c r="F26" i="5" s="1"/>
  <c r="H13" i="7"/>
  <c r="H12" i="7"/>
  <c r="H11" i="7"/>
  <c r="J13" i="7"/>
  <c r="J12" i="7"/>
  <c r="J11" i="7"/>
  <c r="H14" i="6"/>
  <c r="H16" i="6"/>
  <c r="H13" i="6"/>
  <c r="J16" i="6"/>
  <c r="J13" i="6"/>
  <c r="J14" i="6"/>
  <c r="D23" i="4"/>
  <c r="D44" i="4" s="1"/>
  <c r="A27" i="5"/>
  <c r="G44" i="4"/>
  <c r="A51" i="5"/>
  <c r="B44" i="4"/>
  <c r="A8" i="5"/>
  <c r="H23" i="4"/>
  <c r="H44" i="4" s="1"/>
  <c r="A71" i="5"/>
  <c r="N52" i="4"/>
  <c r="N54" i="4"/>
  <c r="N56" i="4" s="1"/>
  <c r="N58" i="4" s="1"/>
  <c r="N57" i="4" s="1"/>
  <c r="E50" i="4"/>
  <c r="E51" i="4" s="1"/>
  <c r="D50" i="4"/>
  <c r="D51" i="4" s="1"/>
  <c r="H50" i="4"/>
  <c r="H51" i="4" s="1"/>
  <c r="B50" i="4"/>
  <c r="B51" i="4" s="1"/>
  <c r="G50" i="4"/>
  <c r="G51" i="4" s="1"/>
  <c r="L50" i="4"/>
  <c r="L51" i="4" s="1"/>
  <c r="L61" i="4"/>
  <c r="L53" i="4"/>
  <c r="L54" i="4"/>
  <c r="C74" i="5" l="1"/>
  <c r="C76" i="5"/>
  <c r="C72" i="5"/>
  <c r="H110" i="2"/>
  <c r="F110" i="2" s="1"/>
  <c r="C78" i="5"/>
  <c r="C79" i="5"/>
  <c r="D79" i="5"/>
  <c r="G79" i="5" s="1"/>
  <c r="C80" i="5"/>
  <c r="D80" i="5"/>
  <c r="G80" i="5" s="1"/>
  <c r="C86" i="5"/>
  <c r="D86" i="5"/>
  <c r="C84" i="5"/>
  <c r="C31" i="4"/>
  <c r="C32" i="4" s="1"/>
  <c r="C33" i="4" s="1"/>
  <c r="C35" i="4" s="1"/>
  <c r="C36" i="4" s="1"/>
  <c r="C37" i="4" s="1"/>
  <c r="C38" i="4" s="1"/>
  <c r="C40" i="4" s="1"/>
  <c r="G31" i="4"/>
  <c r="G32" i="4" s="1"/>
  <c r="G33" i="4" s="1"/>
  <c r="G35" i="4" s="1"/>
  <c r="G36" i="4" s="1"/>
  <c r="G37" i="4" s="1"/>
  <c r="G38" i="4" s="1"/>
  <c r="J30" i="4"/>
  <c r="J29" i="4"/>
  <c r="J27" i="4"/>
  <c r="J28" i="4" s="1"/>
  <c r="J26" i="4"/>
  <c r="J25" i="4"/>
  <c r="F91" i="5"/>
  <c r="G102" i="5"/>
  <c r="F102" i="5" s="1"/>
  <c r="D85" i="5"/>
  <c r="C85" i="5"/>
  <c r="D87" i="5"/>
  <c r="C87" i="5"/>
  <c r="D90" i="5"/>
  <c r="G90" i="5" s="1"/>
  <c r="C90" i="5"/>
  <c r="D88" i="5"/>
  <c r="C88" i="5"/>
  <c r="D72" i="5"/>
  <c r="D76" i="5"/>
  <c r="D73" i="5"/>
  <c r="D77" i="5"/>
  <c r="G77" i="5" s="1"/>
  <c r="D84" i="5"/>
  <c r="D74" i="5"/>
  <c r="D78" i="5"/>
  <c r="G78" i="5" s="1"/>
  <c r="D75" i="5"/>
  <c r="G8" i="7"/>
  <c r="G10" i="7" s="1"/>
  <c r="G11" i="6"/>
  <c r="G15" i="6" s="1"/>
  <c r="D6" i="7"/>
  <c r="D8" i="7" s="1"/>
  <c r="D10" i="7" s="1"/>
  <c r="D11" i="6"/>
  <c r="D15" i="6" s="1"/>
  <c r="E39" i="4"/>
  <c r="E6" i="7"/>
  <c r="E8" i="7" s="1"/>
  <c r="E10" i="7" s="1"/>
  <c r="E11" i="6"/>
  <c r="E15" i="6" s="1"/>
  <c r="B6" i="7"/>
  <c r="B8" i="7" s="1"/>
  <c r="B10" i="7" s="1"/>
  <c r="B39" i="4"/>
  <c r="C59" i="2"/>
  <c r="C45" i="2"/>
  <c r="C23" i="2"/>
  <c r="E15" i="3"/>
  <c r="N55" i="4"/>
  <c r="B74" i="4"/>
  <c r="B75" i="4" s="1"/>
  <c r="L55" i="4"/>
  <c r="L56" i="4"/>
  <c r="L58" i="4" s="1"/>
  <c r="L57" i="4" s="1"/>
  <c r="F27" i="2" l="1"/>
  <c r="H27" i="2" s="1"/>
  <c r="F26" i="2"/>
  <c r="H26" i="2" s="1"/>
  <c r="F30" i="2"/>
  <c r="H30" i="2" s="1"/>
  <c r="F31" i="2"/>
  <c r="H31" i="2" s="1"/>
  <c r="F28" i="2"/>
  <c r="H28" i="2" s="1"/>
  <c r="F25" i="2"/>
  <c r="H25" i="2" s="1"/>
  <c r="F23" i="2"/>
  <c r="H23" i="2" s="1"/>
  <c r="F24" i="2"/>
  <c r="H24" i="2" s="1"/>
  <c r="F32" i="2"/>
  <c r="H32" i="2" s="1"/>
  <c r="F29" i="2"/>
  <c r="H29" i="2" s="1"/>
  <c r="F56" i="2"/>
  <c r="F47" i="2"/>
  <c r="H47" i="2" s="1"/>
  <c r="F52" i="2"/>
  <c r="F48" i="2"/>
  <c r="H48" i="2" s="1"/>
  <c r="F55" i="2"/>
  <c r="C37" i="5" s="1"/>
  <c r="F46" i="2"/>
  <c r="H46" i="2" s="1"/>
  <c r="F50" i="2"/>
  <c r="H50" i="2" s="1"/>
  <c r="F57" i="2"/>
  <c r="H57" i="2" s="1"/>
  <c r="F54" i="2"/>
  <c r="F45" i="2"/>
  <c r="H45" i="2" s="1"/>
  <c r="F51" i="2"/>
  <c r="F53" i="2"/>
  <c r="F49" i="2"/>
  <c r="H49" i="2" s="1"/>
  <c r="F66" i="2"/>
  <c r="H66" i="2" s="1"/>
  <c r="F59" i="2"/>
  <c r="H59" i="2" s="1"/>
  <c r="F67" i="2"/>
  <c r="H67" i="2" s="1"/>
  <c r="F68" i="2"/>
  <c r="H68" i="2" s="1"/>
  <c r="F61" i="2"/>
  <c r="H61" i="2" s="1"/>
  <c r="F65" i="2"/>
  <c r="H65" i="2" s="1"/>
  <c r="F69" i="2"/>
  <c r="H69" i="2" s="1"/>
  <c r="F70" i="2"/>
  <c r="H70" i="2" s="1"/>
  <c r="F63" i="2"/>
  <c r="H63" i="2" s="1"/>
  <c r="F60" i="2"/>
  <c r="H60" i="2" s="1"/>
  <c r="F62" i="2"/>
  <c r="H62" i="2" s="1"/>
  <c r="F71" i="2"/>
  <c r="H71" i="2" s="1"/>
  <c r="F64" i="2"/>
  <c r="H64" i="2" s="1"/>
  <c r="C34" i="5"/>
  <c r="C33" i="5"/>
  <c r="C38" i="5"/>
  <c r="J31" i="4"/>
  <c r="J32" i="4" s="1"/>
  <c r="J33" i="4" s="1"/>
  <c r="J35" i="4" s="1"/>
  <c r="J36" i="4" s="1"/>
  <c r="J37" i="4" s="1"/>
  <c r="J38" i="4" s="1"/>
  <c r="J40" i="4" s="1"/>
  <c r="F78" i="5"/>
  <c r="F80" i="5"/>
  <c r="F79" i="5"/>
  <c r="F77" i="5"/>
  <c r="C29" i="5"/>
  <c r="B69" i="4"/>
  <c r="E12" i="7"/>
  <c r="E11" i="7"/>
  <c r="E13" i="7"/>
  <c r="D14" i="6"/>
  <c r="D16" i="6"/>
  <c r="D13" i="6"/>
  <c r="G13" i="7"/>
  <c r="G12" i="7"/>
  <c r="G11" i="7"/>
  <c r="E13" i="6"/>
  <c r="E14" i="6"/>
  <c r="E16" i="6"/>
  <c r="D13" i="7"/>
  <c r="D12" i="7"/>
  <c r="D11" i="7"/>
  <c r="G14" i="6"/>
  <c r="G16" i="6"/>
  <c r="G13" i="6"/>
  <c r="B73" i="4"/>
  <c r="C58" i="5"/>
  <c r="C56" i="5"/>
  <c r="C54" i="5"/>
  <c r="C52" i="5"/>
  <c r="C59" i="5"/>
  <c r="C57" i="5"/>
  <c r="C55" i="5"/>
  <c r="C53" i="5"/>
  <c r="C43" i="5"/>
  <c r="C41" i="5"/>
  <c r="C48" i="5"/>
  <c r="C32" i="5"/>
  <c r="C14" i="5"/>
  <c r="C12" i="5"/>
  <c r="C15" i="5"/>
  <c r="C11" i="5"/>
  <c r="G84" i="5"/>
  <c r="G83" i="5"/>
  <c r="G85" i="5"/>
  <c r="G89" i="5"/>
  <c r="F90" i="5"/>
  <c r="G86" i="5"/>
  <c r="G87" i="5"/>
  <c r="G88" i="5"/>
  <c r="C82" i="5"/>
  <c r="C71" i="5"/>
  <c r="B13" i="4"/>
  <c r="C46" i="5" l="1"/>
  <c r="C44" i="5"/>
  <c r="C9" i="5"/>
  <c r="H58" i="2"/>
  <c r="F58" i="2" s="1"/>
  <c r="C30" i="5"/>
  <c r="C47" i="5"/>
  <c r="H33" i="2"/>
  <c r="F33" i="2" s="1"/>
  <c r="C31" i="5"/>
  <c r="C28" i="5"/>
  <c r="C10" i="5"/>
  <c r="C45" i="5"/>
  <c r="C13" i="5"/>
  <c r="C42" i="5"/>
  <c r="C49" i="5"/>
  <c r="H73" i="2"/>
  <c r="F73" i="2" s="1"/>
  <c r="C16" i="5"/>
  <c r="D36" i="5"/>
  <c r="C36" i="5"/>
  <c r="D35" i="5"/>
  <c r="C35" i="5"/>
  <c r="G40" i="4"/>
  <c r="D53" i="5"/>
  <c r="D57" i="5"/>
  <c r="D54" i="5"/>
  <c r="D58" i="5"/>
  <c r="D55" i="5"/>
  <c r="D59" i="5"/>
  <c r="D52" i="5"/>
  <c r="D56" i="5"/>
  <c r="D13" i="5"/>
  <c r="D14" i="5"/>
  <c r="D29" i="5"/>
  <c r="D34" i="5"/>
  <c r="D9" i="5"/>
  <c r="D10" i="5"/>
  <c r="D11" i="5"/>
  <c r="G11" i="5" s="1"/>
  <c r="F11" i="5" s="1"/>
  <c r="D15" i="5"/>
  <c r="D12" i="5"/>
  <c r="G12" i="5" s="1"/>
  <c r="F12" i="5" s="1"/>
  <c r="D16" i="5"/>
  <c r="D37" i="5"/>
  <c r="G37" i="5" s="1"/>
  <c r="F37" i="5" s="1"/>
  <c r="D38" i="5"/>
  <c r="G38" i="5" s="1"/>
  <c r="F38" i="5" s="1"/>
  <c r="I24" i="4"/>
  <c r="D28" i="5"/>
  <c r="D30" i="5"/>
  <c r="D33" i="5"/>
  <c r="D31" i="5"/>
  <c r="K8" i="7"/>
  <c r="K6" i="7"/>
  <c r="D40" i="5"/>
  <c r="G40" i="5" s="1"/>
  <c r="D48" i="5"/>
  <c r="D49" i="5"/>
  <c r="D42" i="5"/>
  <c r="D46" i="5"/>
  <c r="D47" i="5"/>
  <c r="D44" i="5"/>
  <c r="D45" i="5"/>
  <c r="B11" i="6"/>
  <c r="K11" i="6" s="1"/>
  <c r="D43" i="5"/>
  <c r="C40" i="5"/>
  <c r="C8" i="5"/>
  <c r="F86" i="5"/>
  <c r="F83" i="5"/>
  <c r="D71" i="5"/>
  <c r="G71" i="5" s="1"/>
  <c r="D82" i="5"/>
  <c r="G82" i="5" s="1"/>
  <c r="F82" i="5" s="1"/>
  <c r="D8" i="5"/>
  <c r="G8" i="5" s="1"/>
  <c r="E89" i="4"/>
  <c r="H89" i="4" s="1"/>
  <c r="B90" i="4"/>
  <c r="G76" i="5"/>
  <c r="F76" i="5" s="1"/>
  <c r="F89" i="5"/>
  <c r="F88" i="5"/>
  <c r="F87" i="5"/>
  <c r="F85" i="5"/>
  <c r="F84" i="5"/>
  <c r="G73" i="5"/>
  <c r="F73" i="5" s="1"/>
  <c r="G72" i="5"/>
  <c r="G75" i="5"/>
  <c r="F75" i="5" s="1"/>
  <c r="G74" i="5"/>
  <c r="F74" i="5" s="1"/>
  <c r="C27" i="5"/>
  <c r="C51" i="5"/>
  <c r="D32" i="5" l="1"/>
  <c r="I30" i="4"/>
  <c r="I29" i="4"/>
  <c r="I27" i="4"/>
  <c r="I28" i="4" s="1"/>
  <c r="I26" i="4"/>
  <c r="I25" i="4"/>
  <c r="G32" i="5"/>
  <c r="F32" i="5" s="1"/>
  <c r="G31" i="5"/>
  <c r="F31" i="5" s="1"/>
  <c r="G33" i="5"/>
  <c r="F33" i="5" s="1"/>
  <c r="G35" i="5"/>
  <c r="F35" i="5" s="1"/>
  <c r="G14" i="5"/>
  <c r="F14" i="5" s="1"/>
  <c r="G13" i="5"/>
  <c r="F13" i="5" s="1"/>
  <c r="G16" i="5"/>
  <c r="F16" i="5" s="1"/>
  <c r="G15" i="5"/>
  <c r="F15" i="5" s="1"/>
  <c r="G36" i="5"/>
  <c r="F36" i="5" s="1"/>
  <c r="G34" i="5"/>
  <c r="F34" i="5" s="1"/>
  <c r="G10" i="5"/>
  <c r="F10" i="5" s="1"/>
  <c r="G52" i="5"/>
  <c r="F52" i="5" s="1"/>
  <c r="D41" i="5"/>
  <c r="G41" i="5" s="1"/>
  <c r="G28" i="5"/>
  <c r="F28" i="5" s="1"/>
  <c r="G9" i="5"/>
  <c r="B15" i="6"/>
  <c r="K15" i="6" s="1"/>
  <c r="G43" i="5"/>
  <c r="F43" i="5" s="1"/>
  <c r="G56" i="5"/>
  <c r="F56" i="5" s="1"/>
  <c r="G59" i="5"/>
  <c r="F59" i="5" s="1"/>
  <c r="G44" i="5"/>
  <c r="F44" i="5" s="1"/>
  <c r="G54" i="5"/>
  <c r="F54" i="5" s="1"/>
  <c r="G57" i="5"/>
  <c r="F57" i="5" s="1"/>
  <c r="G42" i="5"/>
  <c r="F42" i="5" s="1"/>
  <c r="G55" i="5"/>
  <c r="F55" i="5" s="1"/>
  <c r="K10" i="7"/>
  <c r="G45" i="5"/>
  <c r="F45" i="5" s="1"/>
  <c r="G58" i="5"/>
  <c r="F58" i="5" s="1"/>
  <c r="G47" i="5"/>
  <c r="F47" i="5" s="1"/>
  <c r="G46" i="5"/>
  <c r="F46" i="5" s="1"/>
  <c r="G49" i="5"/>
  <c r="F49" i="5" s="1"/>
  <c r="G48" i="5"/>
  <c r="F48" i="5" s="1"/>
  <c r="F71" i="5"/>
  <c r="G81" i="5"/>
  <c r="F81" i="5" s="1"/>
  <c r="F40" i="5"/>
  <c r="B11" i="7"/>
  <c r="K11" i="7" s="1"/>
  <c r="B12" i="7"/>
  <c r="K12" i="7" s="1"/>
  <c r="B13" i="7"/>
  <c r="G53" i="5"/>
  <c r="F53" i="5" s="1"/>
  <c r="F8" i="5"/>
  <c r="G30" i="5"/>
  <c r="F30" i="5" s="1"/>
  <c r="D27" i="5"/>
  <c r="G27" i="5" s="1"/>
  <c r="F27" i="5" s="1"/>
  <c r="B91" i="4"/>
  <c r="E90" i="4"/>
  <c r="H90" i="4" s="1"/>
  <c r="H91" i="4" s="1"/>
  <c r="G29" i="5"/>
  <c r="F29" i="5" s="1"/>
  <c r="F72" i="5"/>
  <c r="H24" i="4"/>
  <c r="G92" i="5"/>
  <c r="D51" i="5"/>
  <c r="G51" i="5" s="1"/>
  <c r="I31" i="4" l="1"/>
  <c r="I32" i="4" s="1"/>
  <c r="I33" i="4" s="1"/>
  <c r="I35" i="4" s="1"/>
  <c r="I36" i="4" s="1"/>
  <c r="I37" i="4" s="1"/>
  <c r="I38" i="4" s="1"/>
  <c r="H30" i="4"/>
  <c r="H29" i="4"/>
  <c r="H27" i="4"/>
  <c r="H28" i="4" s="1"/>
  <c r="H26" i="4"/>
  <c r="H25" i="4"/>
  <c r="E24" i="4"/>
  <c r="B24" i="4"/>
  <c r="F9" i="5"/>
  <c r="G17" i="5"/>
  <c r="B14" i="6"/>
  <c r="K14" i="6" s="1"/>
  <c r="B16" i="6"/>
  <c r="B13" i="6"/>
  <c r="K13" i="6" s="1"/>
  <c r="F41" i="5"/>
  <c r="G50" i="5"/>
  <c r="F50" i="5" s="1"/>
  <c r="F92" i="5"/>
  <c r="I40" i="4" s="1"/>
  <c r="D24" i="4"/>
  <c r="H46" i="4"/>
  <c r="H52" i="4" s="1"/>
  <c r="G39" i="5"/>
  <c r="G60" i="5"/>
  <c r="F51" i="5"/>
  <c r="F24" i="4"/>
  <c r="B11" i="4" l="1"/>
  <c r="B70" i="4" s="1"/>
  <c r="H31" i="4"/>
  <c r="H32" i="4" s="1"/>
  <c r="H33" i="4" s="1"/>
  <c r="H35" i="4" s="1"/>
  <c r="H36" i="4" s="1"/>
  <c r="H37" i="4" s="1"/>
  <c r="H38" i="4" s="1"/>
  <c r="H40" i="4" s="1"/>
  <c r="D30" i="4"/>
  <c r="D29" i="4"/>
  <c r="D27" i="4"/>
  <c r="D28" i="4" s="1"/>
  <c r="D26" i="4"/>
  <c r="D25" i="4"/>
  <c r="B29" i="4"/>
  <c r="B27" i="4"/>
  <c r="B28" i="4" s="1"/>
  <c r="B25" i="4"/>
  <c r="B26" i="4"/>
  <c r="F30" i="4"/>
  <c r="F29" i="4"/>
  <c r="F27" i="4"/>
  <c r="F28" i="4" s="1"/>
  <c r="F26" i="4"/>
  <c r="F25" i="4"/>
  <c r="E30" i="4"/>
  <c r="E29" i="4"/>
  <c r="E27" i="4"/>
  <c r="E28" i="4" s="1"/>
  <c r="E26" i="4"/>
  <c r="E25" i="4"/>
  <c r="E46" i="4"/>
  <c r="E54" i="4" s="1"/>
  <c r="E55" i="4" s="1"/>
  <c r="F17" i="5"/>
  <c r="B46" i="4"/>
  <c r="B53" i="4" s="1"/>
  <c r="B30" i="4"/>
  <c r="F39" i="5"/>
  <c r="H54" i="4"/>
  <c r="H56" i="4" s="1"/>
  <c r="H58" i="4" s="1"/>
  <c r="H57" i="4" s="1"/>
  <c r="D46" i="4"/>
  <c r="D54" i="4" s="1"/>
  <c r="D55" i="4" s="1"/>
  <c r="H53" i="4"/>
  <c r="G46" i="4"/>
  <c r="B10" i="4" l="1"/>
  <c r="B9" i="4"/>
  <c r="F31" i="4"/>
  <c r="F32" i="4" s="1"/>
  <c r="F33" i="4" s="1"/>
  <c r="F35" i="4" s="1"/>
  <c r="F36" i="4" s="1"/>
  <c r="F37" i="4" s="1"/>
  <c r="F38" i="4" s="1"/>
  <c r="F40" i="4" s="1"/>
  <c r="E31" i="4"/>
  <c r="E32" i="4" s="1"/>
  <c r="E33" i="4" s="1"/>
  <c r="E35" i="4" s="1"/>
  <c r="E36" i="4" s="1"/>
  <c r="E37" i="4" s="1"/>
  <c r="E38" i="4" s="1"/>
  <c r="E40" i="4" s="1"/>
  <c r="D31" i="4"/>
  <c r="D32" i="4" s="1"/>
  <c r="D33" i="4" s="1"/>
  <c r="D35" i="4" s="1"/>
  <c r="D36" i="4" s="1"/>
  <c r="D37" i="4" s="1"/>
  <c r="D38" i="4" s="1"/>
  <c r="D40" i="4" s="1"/>
  <c r="M23" i="4"/>
  <c r="B12" i="4"/>
  <c r="B14" i="4"/>
  <c r="E56" i="4"/>
  <c r="E58" i="4" s="1"/>
  <c r="E57" i="4" s="1"/>
  <c r="E53" i="4"/>
  <c r="E52" i="4"/>
  <c r="B31" i="4"/>
  <c r="B32" i="4" s="1"/>
  <c r="B33" i="4" s="1"/>
  <c r="B35" i="4" s="1"/>
  <c r="B36" i="4" s="1"/>
  <c r="B37" i="4" s="1"/>
  <c r="B38" i="4" s="1"/>
  <c r="B40" i="4" s="1"/>
  <c r="B52" i="4"/>
  <c r="B54" i="4"/>
  <c r="B55" i="4" s="1"/>
  <c r="D56" i="4"/>
  <c r="D58" i="4" s="1"/>
  <c r="D57" i="4" s="1"/>
  <c r="H55" i="4"/>
  <c r="D53" i="4"/>
  <c r="D52" i="4"/>
  <c r="G54" i="4"/>
  <c r="G53" i="4"/>
  <c r="G52" i="4"/>
  <c r="D68" i="4" l="1"/>
  <c r="B68" i="4"/>
  <c r="K65" i="4"/>
  <c r="K40" i="4" s="1"/>
  <c r="B56" i="4"/>
  <c r="B58" i="4" s="1"/>
  <c r="B57" i="4" s="1"/>
  <c r="O72" i="4"/>
  <c r="G55" i="4"/>
  <c r="G56" i="4"/>
  <c r="G58" i="4" s="1"/>
  <c r="G57" i="4" s="1"/>
  <c r="B15" i="4" l="1"/>
  <c r="B16" i="4" l="1"/>
  <c r="B17" i="4" l="1"/>
  <c r="B71" i="4" s="1"/>
  <c r="C9" i="4" l="1"/>
  <c r="C11" i="4"/>
  <c r="C14" i="4"/>
  <c r="C10" i="4"/>
  <c r="C13" i="4"/>
  <c r="C8" i="4"/>
  <c r="C15" i="4"/>
  <c r="C16" i="4"/>
  <c r="C17" i="4" l="1"/>
  <c r="C12" i="4" s="1"/>
  <c r="D18" i="4" s="1"/>
  <c r="O73" i="4"/>
  <c r="O71" i="4"/>
  <c r="B72" i="4"/>
  <c r="B77" i="4"/>
  <c r="B76" i="4"/>
  <c r="B78" i="4"/>
  <c r="B82" i="4" s="1"/>
  <c r="J73" i="4" l="1"/>
  <c r="J74" i="4" s="1"/>
  <c r="B80" i="4"/>
  <c r="B81" i="4"/>
  <c r="B79" i="4"/>
</calcChain>
</file>

<file path=xl/sharedStrings.xml><?xml version="1.0" encoding="utf-8"?>
<sst xmlns="http://schemas.openxmlformats.org/spreadsheetml/2006/main" count="310" uniqueCount="178">
  <si>
    <t>Нерабочие дни</t>
  </si>
  <si>
    <t>выходные</t>
  </si>
  <si>
    <t>итого</t>
  </si>
  <si>
    <t>Календарный фонд времени в плановом году</t>
  </si>
  <si>
    <t>Таблица 2 - Расчет объема производства и реализации продукции</t>
  </si>
  <si>
    <t>Продукция</t>
  </si>
  <si>
    <t>Количество рабочих дней в году</t>
  </si>
  <si>
    <t>Годовой выпуск продукции, т</t>
  </si>
  <si>
    <t>%</t>
  </si>
  <si>
    <t xml:space="preserve">Таблица 3 - Потребность и стоимость сырья, вспомогательных материалов, возвратных отходов </t>
  </si>
  <si>
    <t>Виды сырья и вспомогательных материалов</t>
  </si>
  <si>
    <t>Годовая потребность в сырье и вспомогательных материалах,т</t>
  </si>
  <si>
    <t>мука ржаная обдирная</t>
  </si>
  <si>
    <t>мука пшеничная 1 сорт</t>
  </si>
  <si>
    <t>на 1 т</t>
  </si>
  <si>
    <t>Показатели</t>
  </si>
  <si>
    <t>Всего</t>
  </si>
  <si>
    <t>Основные фонды</t>
  </si>
  <si>
    <t>Структура фондов, %</t>
  </si>
  <si>
    <t>1. Здания</t>
  </si>
  <si>
    <t>2. Сооружения</t>
  </si>
  <si>
    <t>3. Передаточные устройства</t>
  </si>
  <si>
    <t>4. Силовые машины и оборудование</t>
  </si>
  <si>
    <t>5. Рабочие машины и оборудование</t>
  </si>
  <si>
    <t>6. Контрольно-измерительные тарифы</t>
  </si>
  <si>
    <t>7. Транспортные средства</t>
  </si>
  <si>
    <t>8. Инструменты</t>
  </si>
  <si>
    <t>9. Производственный и хозяйственный инвентарь</t>
  </si>
  <si>
    <t>Кп=Ку*Мсм=</t>
  </si>
  <si>
    <t>Элементы затрат</t>
  </si>
  <si>
    <t>2. Топливо</t>
  </si>
  <si>
    <t>3. Энергия</t>
  </si>
  <si>
    <t>6. Амортизация основных фондов</t>
  </si>
  <si>
    <t>7. Прочие денежные расходы</t>
  </si>
  <si>
    <t>9. Внепроизводственные расходы</t>
  </si>
  <si>
    <t>Статьи кальуляции</t>
  </si>
  <si>
    <t>Затраты на 1 т продукции по видам, тыс.р.</t>
  </si>
  <si>
    <t>2. Транспортно-заготовительные расходы</t>
  </si>
  <si>
    <t>4. Электроэнергия</t>
  </si>
  <si>
    <t>6. Отчисления на соц.страхование</t>
  </si>
  <si>
    <t>7. Расходы на содержание оборудования</t>
  </si>
  <si>
    <t>8. Общехозяйственные расходы</t>
  </si>
  <si>
    <t>9. Фабрично-заводская себистоимость</t>
  </si>
  <si>
    <t>10. Коммерческие расходы</t>
  </si>
  <si>
    <t>12. Рентабельность</t>
  </si>
  <si>
    <t>13. Прибыль</t>
  </si>
  <si>
    <t>14. Оптовая цена</t>
  </si>
  <si>
    <t>15. Налог на НДС</t>
  </si>
  <si>
    <t>16. Отпускная цена с НДС</t>
  </si>
  <si>
    <t>Таблица 13 - Расчет плановой калькуляции и проекта оптовой цены на 1т гот.продукции (практ)</t>
  </si>
  <si>
    <t>По проекту</t>
  </si>
  <si>
    <t>Таблица 15 - Мучные отходы</t>
  </si>
  <si>
    <t>Годовая потребность в муке, т</t>
  </si>
  <si>
    <t>Оптовая цена 1т муки, тыс.р.</t>
  </si>
  <si>
    <t>Отходы муки, т</t>
  </si>
  <si>
    <t>Цена 1т возвратных отходов, тыс.р.</t>
  </si>
  <si>
    <t>Цена возвратных отходов, тыс р.</t>
  </si>
  <si>
    <t>Мсм=</t>
  </si>
  <si>
    <t>3. Топливо</t>
  </si>
  <si>
    <t>Итого</t>
  </si>
  <si>
    <t>Всего:</t>
  </si>
  <si>
    <t>№ поточной линии</t>
  </si>
  <si>
    <t>V Сухари "Осенние"</t>
  </si>
  <si>
    <t>V Сухари с изюмом</t>
  </si>
  <si>
    <t>праздничные</t>
  </si>
  <si>
    <t>5. Основная и дополнительная заработная плата</t>
  </si>
  <si>
    <t>11. Полная себестоимость</t>
  </si>
  <si>
    <t>1. Сырье, основные и вспомогательные материалы</t>
  </si>
  <si>
    <t>4. Основная и дополнительная заработная плата</t>
  </si>
  <si>
    <t>10. Полная себестоимость товарной продукции</t>
  </si>
  <si>
    <t>Статьи калькуляции</t>
  </si>
  <si>
    <t>5. Отчисления на социальное страхование</t>
  </si>
  <si>
    <t>Структура себестоимости, %</t>
  </si>
  <si>
    <t>Вид и сорт муки</t>
  </si>
  <si>
    <t>Норма амортизации</t>
  </si>
  <si>
    <t>Стоимость сырья и вспомогательных материалов,тыс.р.</t>
  </si>
  <si>
    <t>8. Итого производственная  себестоимость</t>
  </si>
  <si>
    <t xml:space="preserve">   Таблица 1 - Годовой режим работы предприятия</t>
  </si>
  <si>
    <t>№ поточ. линии</t>
  </si>
  <si>
    <t xml:space="preserve"> -</t>
  </si>
  <si>
    <t>Стоимость фондов, тыс.р.</t>
  </si>
  <si>
    <t>Сумма амортизационных отчислений, тыс.р.</t>
  </si>
  <si>
    <t>Ку=</t>
  </si>
  <si>
    <t>Годов. объем пр-ва</t>
  </si>
  <si>
    <t>Сумма, тыс.р.</t>
  </si>
  <si>
    <t>Фонд оплаты труда, млн.р.</t>
  </si>
  <si>
    <t>Стоимость производственных фондов, млн.р., в том числе:</t>
  </si>
  <si>
    <t>Прибыль от реализации продукции, млн.р.</t>
  </si>
  <si>
    <t xml:space="preserve">Эффективность капитальных вложений, р. </t>
  </si>
  <si>
    <t>Срок окупаемости капитальных вложений, год</t>
  </si>
  <si>
    <t>Таблица 4 - Амортизационные отчисления</t>
  </si>
  <si>
    <t>Таблица 5 - Смета затрат на производство и реализацию продукта</t>
  </si>
  <si>
    <t xml:space="preserve">Таблица 6 - Расчет плановой калькуляции и проекта оптовой цены 1 т готовой продукции </t>
  </si>
  <si>
    <t>Таблица 7 - Основные показатели производственно-хозяйственной деятельности предприятия</t>
  </si>
  <si>
    <t>Объем реализуемой продукции, тыс. р.</t>
  </si>
  <si>
    <t>Фондоотдача, р./р.</t>
  </si>
  <si>
    <t>Фондоемкость, р./р.</t>
  </si>
  <si>
    <t xml:space="preserve">Оптовая цена 1 кг сырья, р. </t>
  </si>
  <si>
    <t>Патока</t>
  </si>
  <si>
    <t>Расчет транспортно-заготовительных расходов</t>
  </si>
  <si>
    <t xml:space="preserve">Сырье </t>
  </si>
  <si>
    <t>Годовая потребность в сырье и вспомогательных материалах</t>
  </si>
  <si>
    <t>Доставка, %</t>
  </si>
  <si>
    <t>Стоимость транспортно-заготовительных расходов, тыс. р.</t>
  </si>
  <si>
    <t>т</t>
  </si>
  <si>
    <t>тыс. р.</t>
  </si>
  <si>
    <t>на весь объем</t>
  </si>
  <si>
    <t>Расчет потребности и стоимости топлива</t>
  </si>
  <si>
    <t xml:space="preserve">Готовая продукция </t>
  </si>
  <si>
    <t>Удельная норма расхода условного топлива на 1 т, кг</t>
  </si>
  <si>
    <t>-</t>
  </si>
  <si>
    <t>Потребность условного топлива на всю продукцию, т</t>
  </si>
  <si>
    <t>Вид натурального топлива</t>
  </si>
  <si>
    <t xml:space="preserve">Природный  газ      </t>
  </si>
  <si>
    <t>Коэффициент перевода</t>
  </si>
  <si>
    <t xml:space="preserve">Потребность в натуральном топливе, т </t>
  </si>
  <si>
    <t>Цена единицы натурального топлива, р.</t>
  </si>
  <si>
    <t>Стоимость топлива на технологические цели, тыс.р.</t>
  </si>
  <si>
    <t>Стоимость топлива на отопление, тыс.р.</t>
  </si>
  <si>
    <t>Стоимость топлива, тыс. р.</t>
  </si>
  <si>
    <t>Затраты топлива на 1 т продукции, тыс. р.</t>
  </si>
  <si>
    <t>Расчет потребности и стоимости электроэнергии</t>
  </si>
  <si>
    <t>Удельная норма расхода, кВтּч.</t>
  </si>
  <si>
    <t>Потребность электроэнергии, кВтּч.</t>
  </si>
  <si>
    <t>Тариф за 1 кВтּч, руб.</t>
  </si>
  <si>
    <t>Стоимость электроэнергии, тыс. р.</t>
  </si>
  <si>
    <t>Затраты на технологические цели, тыс.р.</t>
  </si>
  <si>
    <t>Затраты на освещение, тыс. р.</t>
  </si>
  <si>
    <t>Затраты электроэнергии на  1 т, тыс. р.</t>
  </si>
  <si>
    <t>ЗП</t>
  </si>
  <si>
    <t>1. Основное сырье и вспомогательные материалы</t>
  </si>
  <si>
    <t>Рентабельность продукции, %</t>
  </si>
  <si>
    <t>Рентабельность производства, %</t>
  </si>
  <si>
    <t>Производство продукции, тыс. тонн.</t>
  </si>
  <si>
    <t>Объем реализуемой продукции, млн.р.</t>
  </si>
  <si>
    <t>Полная себестоимость реализуемой продукции, млн. р.</t>
  </si>
  <si>
    <t xml:space="preserve"> а) основные производственные фонды</t>
  </si>
  <si>
    <t xml:space="preserve"> б) нормируемые оборотные средства</t>
  </si>
  <si>
    <t>9. Производственная себестоимость</t>
  </si>
  <si>
    <t>Затраты на 1 р. товарной продукции, р.</t>
  </si>
  <si>
    <t>ТБ</t>
  </si>
  <si>
    <t>планово-техничническое обслуживание и ремонт</t>
  </si>
  <si>
    <t>Суточная выработка, т</t>
  </si>
  <si>
    <t>Кислота лимонная</t>
  </si>
  <si>
    <t>Эссенция ванильная</t>
  </si>
  <si>
    <t>Пюре яблочное</t>
  </si>
  <si>
    <t>6. Страховые платежи</t>
  </si>
  <si>
    <t>Гуммированная лента</t>
  </si>
  <si>
    <t>Гофркороба</t>
  </si>
  <si>
    <t>Сахар-песок</t>
  </si>
  <si>
    <t>Норма расхода сырья и вспомогательных материалов на 1 т продукции, кг</t>
  </si>
  <si>
    <t>Шоколадная глазурь</t>
  </si>
  <si>
    <t>Пастила «Двухслойная»</t>
  </si>
  <si>
    <t>Пастила «Малиновая»</t>
  </si>
  <si>
    <t>Пастила «Клюквенная»</t>
  </si>
  <si>
    <t>Зефир «Сливочный»</t>
  </si>
  <si>
    <t>Зефир «Киевский»</t>
  </si>
  <si>
    <t>Зефир «Десертный»</t>
  </si>
  <si>
    <t>Зефир «В шоколаде»</t>
  </si>
  <si>
    <t>Зефир «Яблочный»</t>
  </si>
  <si>
    <t>Зефир «Маршмеллоу»</t>
  </si>
  <si>
    <t>Припас ягодный</t>
  </si>
  <si>
    <t>Белок яичный</t>
  </si>
  <si>
    <t>Кислота молочная</t>
  </si>
  <si>
    <t>Агар-агар</t>
  </si>
  <si>
    <t>Полителен</t>
  </si>
  <si>
    <t>Бумага парафинированная</t>
  </si>
  <si>
    <t>Пюре клюквенное</t>
  </si>
  <si>
    <t>Эссенция клюквенная</t>
  </si>
  <si>
    <t>Краситель красный</t>
  </si>
  <si>
    <t>Молоко сух.цельное</t>
  </si>
  <si>
    <t>Молоко сух.обез.</t>
  </si>
  <si>
    <t>Воздушный рис</t>
  </si>
  <si>
    <t>Цукаты</t>
  </si>
  <si>
    <t>Орех сырой</t>
  </si>
  <si>
    <t>Корица молотая</t>
  </si>
  <si>
    <t>Желатин пищевой</t>
  </si>
  <si>
    <t>Сорбит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</si>
</sst>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b/>
      <sz val="12"/>
      <name val="Times New Roman"/>
      <family val="1"/>
      <charset val="204"/>
    </font>
    <font>
      <sz val="11"/>
      <name val="Arial Cyr"/>
      <charset val="204"/>
    </font>
    <font>
      <b/>
      <sz val="10"/>
      <name val="Arial"/>
      <family val="2"/>
      <charset val="204"/>
    </font>
    <font>
      <b/>
      <sz val="12"/>
      <name val="Arial Cyr"/>
      <charset val="204"/>
    </font>
    <font>
      <sz val="10"/>
      <color rgb="FFFF000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7"/>
      <name val="Times New Roman"/>
      <family val="1"/>
      <charset val="204"/>
    </font>
    <font>
      <sz val="8"/>
      <color rgb="FF000000"/>
      <name val="Calibri"/>
      <family val="2"/>
      <charset val="204"/>
    </font>
    <font>
      <sz val="8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name val="Arial Black"/>
      <family val="2"/>
      <charset val="204"/>
    </font>
    <font>
      <b/>
      <sz val="11"/>
      <name val="Arial Black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1" fillId="0" borderId="1" xfId="0" applyNumberFormat="1" applyFont="1" applyBorder="1" applyAlignment="1">
      <alignment wrapText="1"/>
    </xf>
    <xf numFmtId="2" fontId="0" fillId="0" borderId="1" xfId="0" applyNumberFormat="1" applyBorder="1" applyAlignment="1">
      <alignment wrapText="1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9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2" fontId="2" fillId="4" borderId="2" xfId="0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vertical="center"/>
    </xf>
    <xf numFmtId="2" fontId="5" fillId="0" borderId="0" xfId="0" applyNumberFormat="1" applyFont="1" applyAlignment="1">
      <alignment horizontal="center"/>
    </xf>
    <xf numFmtId="0" fontId="10" fillId="0" borderId="2" xfId="0" applyFont="1" applyBorder="1" applyAlignment="1">
      <alignment horizontal="center" wrapText="1"/>
    </xf>
    <xf numFmtId="2" fontId="10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11" fillId="0" borderId="0" xfId="0" applyFont="1" applyAlignment="1">
      <alignment horizontal="justify"/>
    </xf>
    <xf numFmtId="2" fontId="12" fillId="0" borderId="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wrapText="1"/>
    </xf>
    <xf numFmtId="1" fontId="0" fillId="0" borderId="17" xfId="0" applyNumberFormat="1" applyBorder="1" applyAlignment="1">
      <alignment horizontal="center" wrapText="1"/>
    </xf>
    <xf numFmtId="1" fontId="0" fillId="0" borderId="18" xfId="0" applyNumberFormat="1" applyBorder="1" applyAlignment="1">
      <alignment horizontal="center" wrapText="1"/>
    </xf>
    <xf numFmtId="1" fontId="0" fillId="0" borderId="19" xfId="0" applyNumberFormat="1" applyBorder="1" applyAlignment="1">
      <alignment horizontal="center" wrapText="1"/>
    </xf>
    <xf numFmtId="0" fontId="13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2" fontId="12" fillId="0" borderId="7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wrapText="1"/>
    </xf>
    <xf numFmtId="0" fontId="12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top" wrapText="1"/>
    </xf>
    <xf numFmtId="0" fontId="10" fillId="0" borderId="6" xfId="0" applyFont="1" applyBorder="1" applyAlignment="1">
      <alignment horizontal="justify" vertical="top" wrapText="1"/>
    </xf>
    <xf numFmtId="2" fontId="12" fillId="0" borderId="21" xfId="0" applyNumberFormat="1" applyFont="1" applyBorder="1" applyAlignment="1">
      <alignment horizontal="center" vertical="center" wrapText="1"/>
    </xf>
    <xf numFmtId="2" fontId="12" fillId="0" borderId="8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horizontal="left" vertical="top" wrapText="1"/>
    </xf>
    <xf numFmtId="0" fontId="0" fillId="5" borderId="2" xfId="0" applyFill="1" applyBorder="1"/>
    <xf numFmtId="2" fontId="0" fillId="5" borderId="2" xfId="0" applyNumberFormat="1" applyFill="1" applyBorder="1"/>
    <xf numFmtId="0" fontId="11" fillId="0" borderId="0" xfId="0" applyFont="1" applyAlignment="1">
      <alignment horizontal="center"/>
    </xf>
    <xf numFmtId="0" fontId="12" fillId="0" borderId="29" xfId="0" applyFont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left" vertical="top" wrapText="1" indent="2"/>
    </xf>
    <xf numFmtId="0" fontId="14" fillId="6" borderId="2" xfId="0" applyFont="1" applyFill="1" applyBorder="1" applyAlignment="1">
      <alignment horizontal="left" vertical="top" wrapText="1" indent="3"/>
    </xf>
    <xf numFmtId="0" fontId="14" fillId="6" borderId="2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4" borderId="0" xfId="0" applyFill="1" applyAlignment="1">
      <alignment wrapText="1"/>
    </xf>
    <xf numFmtId="2" fontId="0" fillId="4" borderId="0" xfId="0" applyNumberFormat="1" applyFill="1" applyAlignment="1">
      <alignment wrapText="1"/>
    </xf>
    <xf numFmtId="2" fontId="0" fillId="4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10" fillId="4" borderId="30" xfId="0" applyFont="1" applyFill="1" applyBorder="1" applyAlignment="1">
      <alignment horizontal="center" wrapText="1"/>
    </xf>
    <xf numFmtId="2" fontId="10" fillId="4" borderId="30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2" fontId="10" fillId="0" borderId="21" xfId="0" applyNumberFormat="1" applyFont="1" applyBorder="1" applyAlignment="1">
      <alignment horizontal="center" vertical="center" wrapText="1"/>
    </xf>
    <xf numFmtId="2" fontId="10" fillId="0" borderId="8" xfId="0" applyNumberFormat="1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" fontId="10" fillId="4" borderId="30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2" fontId="0" fillId="0" borderId="6" xfId="0" applyNumberFormat="1" applyBorder="1" applyAlignment="1">
      <alignment horizontal="left" vertical="center" wrapText="1"/>
    </xf>
    <xf numFmtId="2" fontId="0" fillId="0" borderId="20" xfId="0" applyNumberFormat="1" applyBorder="1" applyAlignment="1">
      <alignment horizontal="left" vertical="center" wrapText="1"/>
    </xf>
    <xf numFmtId="0" fontId="2" fillId="4" borderId="11" xfId="0" applyFont="1" applyFill="1" applyBorder="1" applyAlignment="1">
      <alignment wrapText="1"/>
    </xf>
    <xf numFmtId="2" fontId="0" fillId="4" borderId="11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1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wrapText="1"/>
    </xf>
    <xf numFmtId="2" fontId="4" fillId="0" borderId="2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0" fontId="12" fillId="0" borderId="37" xfId="0" applyFont="1" applyBorder="1" applyAlignment="1">
      <alignment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wrapText="1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2" fontId="0" fillId="0" borderId="2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3" fillId="0" borderId="0" xfId="0" applyFont="1"/>
    <xf numFmtId="0" fontId="13" fillId="0" borderId="2" xfId="0" applyFont="1" applyBorder="1"/>
    <xf numFmtId="2" fontId="6" fillId="0" borderId="30" xfId="0" applyNumberFormat="1" applyFont="1" applyBorder="1" applyAlignment="1">
      <alignment horizontal="center" vertical="center" wrapText="1"/>
    </xf>
    <xf numFmtId="2" fontId="0" fillId="0" borderId="30" xfId="0" applyNumberForma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13" fillId="0" borderId="0" xfId="0" applyNumberFormat="1" applyFont="1" applyAlignment="1">
      <alignment horizontal="center"/>
    </xf>
    <xf numFmtId="2" fontId="0" fillId="0" borderId="30" xfId="0" applyNumberForma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13" fillId="0" borderId="38" xfId="0" applyNumberFormat="1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/>
    </xf>
    <xf numFmtId="2" fontId="12" fillId="0" borderId="2" xfId="0" applyNumberFormat="1" applyFont="1" applyBorder="1" applyAlignment="1">
      <alignment wrapText="1"/>
    </xf>
    <xf numFmtId="2" fontId="12" fillId="0" borderId="30" xfId="0" applyNumberFormat="1" applyFont="1" applyBorder="1" applyAlignment="1">
      <alignment horizontal="center" vertical="center" wrapText="1"/>
    </xf>
    <xf numFmtId="2" fontId="16" fillId="0" borderId="46" xfId="0" applyNumberFormat="1" applyFont="1" applyBorder="1" applyAlignment="1">
      <alignment horizontal="center" vertical="center"/>
    </xf>
    <xf numFmtId="2" fontId="19" fillId="0" borderId="46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39" xfId="0" applyFont="1" applyBorder="1" applyAlignment="1">
      <alignment horizontal="justify" vertical="center" wrapText="1"/>
    </xf>
    <xf numFmtId="0" fontId="10" fillId="0" borderId="40" xfId="0" applyFont="1" applyBorder="1" applyAlignment="1">
      <alignment horizontal="justify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justify" vertical="center" wrapText="1"/>
    </xf>
    <xf numFmtId="0" fontId="13" fillId="0" borderId="38" xfId="0" applyFont="1" applyBorder="1" applyAlignment="1">
      <alignment horizontal="justify" vertical="center" wrapText="1"/>
    </xf>
    <xf numFmtId="2" fontId="13" fillId="0" borderId="47" xfId="0" applyNumberFormat="1" applyFont="1" applyBorder="1" applyAlignment="1">
      <alignment horizontal="center" vertical="center" wrapText="1"/>
    </xf>
    <xf numFmtId="0" fontId="13" fillId="0" borderId="48" xfId="0" applyFont="1" applyBorder="1" applyAlignment="1">
      <alignment horizontal="justify" vertical="center" wrapText="1"/>
    </xf>
    <xf numFmtId="2" fontId="13" fillId="0" borderId="48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2" fontId="20" fillId="0" borderId="46" xfId="0" applyNumberFormat="1" applyFont="1" applyBorder="1" applyAlignment="1">
      <alignment horizontal="center" vertical="center" wrapText="1"/>
    </xf>
    <xf numFmtId="0" fontId="13" fillId="0" borderId="49" xfId="0" applyFont="1" applyBorder="1" applyAlignment="1">
      <alignment horizontal="justify" vertical="center" wrapText="1"/>
    </xf>
    <xf numFmtId="2" fontId="20" fillId="0" borderId="2" xfId="0" applyNumberFormat="1" applyFont="1" applyBorder="1" applyAlignment="1">
      <alignment horizontal="center" vertical="center" wrapText="1"/>
    </xf>
    <xf numFmtId="2" fontId="17" fillId="0" borderId="30" xfId="0" applyNumberFormat="1" applyFont="1" applyBorder="1" applyAlignment="1">
      <alignment horizontal="center" vertical="center" wrapText="1"/>
    </xf>
    <xf numFmtId="2" fontId="13" fillId="0" borderId="30" xfId="0" applyNumberFormat="1" applyFont="1" applyBorder="1" applyAlignment="1">
      <alignment horizontal="center"/>
    </xf>
    <xf numFmtId="0" fontId="13" fillId="0" borderId="25" xfId="0" applyFont="1" applyBorder="1"/>
    <xf numFmtId="0" fontId="13" fillId="0" borderId="2" xfId="0" applyFont="1" applyBorder="1" applyAlignment="1">
      <alignment horizontal="justify" vertical="center" wrapText="1"/>
    </xf>
    <xf numFmtId="0" fontId="10" fillId="0" borderId="25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2" fontId="0" fillId="0" borderId="0" xfId="0" applyNumberFormat="1" applyAlignment="1">
      <alignment horizontal="left"/>
    </xf>
    <xf numFmtId="0" fontId="21" fillId="0" borderId="0" xfId="0" applyFont="1"/>
    <xf numFmtId="0" fontId="22" fillId="0" borderId="0" xfId="0" applyFont="1"/>
    <xf numFmtId="2" fontId="22" fillId="0" borderId="0" xfId="0" applyNumberFormat="1" applyFont="1"/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4" borderId="5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wrapText="1"/>
    </xf>
    <xf numFmtId="0" fontId="0" fillId="8" borderId="2" xfId="0" applyFill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10" fillId="0" borderId="1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2" fontId="3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11" fillId="0" borderId="0" xfId="0" applyFont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top" wrapText="1"/>
    </xf>
    <xf numFmtId="0" fontId="10" fillId="0" borderId="32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/>
  </sheetViews>
  <sheetFormatPr defaultRowHeight="12.75" x14ac:dyDescent="0.2"/>
  <cols>
    <col min="1" max="1" width="10.85546875" customWidth="1"/>
    <col min="2" max="2" width="19.85546875" customWidth="1"/>
    <col min="3" max="3" width="10.140625" customWidth="1"/>
    <col min="4" max="4" width="14" customWidth="1"/>
    <col min="5" max="5" width="19.28515625" customWidth="1"/>
    <col min="7" max="7" width="15" customWidth="1"/>
    <col min="8" max="8" width="10.7109375" customWidth="1"/>
  </cols>
  <sheetData>
    <row r="1" spans="1:7" ht="13.5" thickBot="1" x14ac:dyDescent="0.25">
      <c r="A1">
        <v>124</v>
      </c>
    </row>
    <row r="2" spans="1:7" ht="13.5" thickBot="1" x14ac:dyDescent="0.25">
      <c r="A2" s="199" t="s">
        <v>77</v>
      </c>
      <c r="B2" s="200"/>
      <c r="C2" s="200"/>
      <c r="D2" s="200"/>
      <c r="E2" s="200"/>
      <c r="F2" s="200"/>
      <c r="G2" s="201"/>
    </row>
    <row r="3" spans="1:7" ht="17.25" customHeight="1" x14ac:dyDescent="0.25">
      <c r="A3" s="203" t="s">
        <v>61</v>
      </c>
      <c r="B3" s="205" t="s">
        <v>3</v>
      </c>
      <c r="C3" s="202" t="s">
        <v>0</v>
      </c>
      <c r="D3" s="202"/>
      <c r="E3" s="202"/>
      <c r="F3" s="202"/>
      <c r="G3" s="207" t="s">
        <v>6</v>
      </c>
    </row>
    <row r="4" spans="1:7" ht="66" customHeight="1" x14ac:dyDescent="0.2">
      <c r="A4" s="204"/>
      <c r="B4" s="206"/>
      <c r="C4" s="85" t="s">
        <v>1</v>
      </c>
      <c r="D4" s="86" t="s">
        <v>64</v>
      </c>
      <c r="E4" s="86" t="s">
        <v>141</v>
      </c>
      <c r="F4" s="85" t="s">
        <v>2</v>
      </c>
      <c r="G4" s="208"/>
    </row>
    <row r="5" spans="1:7" ht="15.75" x14ac:dyDescent="0.2">
      <c r="A5" s="87">
        <v>1</v>
      </c>
      <c r="B5" s="85">
        <v>365</v>
      </c>
      <c r="C5" s="82">
        <v>104</v>
      </c>
      <c r="D5" s="83">
        <v>8</v>
      </c>
      <c r="E5" s="84">
        <v>3</v>
      </c>
      <c r="F5" s="85">
        <f>C5+D5+E5</f>
        <v>115</v>
      </c>
      <c r="G5" s="88">
        <f>B5-F5</f>
        <v>250</v>
      </c>
    </row>
    <row r="6" spans="1:7" ht="15.75" x14ac:dyDescent="0.2">
      <c r="A6" s="87">
        <v>2</v>
      </c>
      <c r="B6" s="85">
        <v>365</v>
      </c>
      <c r="C6" s="82">
        <v>104</v>
      </c>
      <c r="D6" s="83">
        <v>8</v>
      </c>
      <c r="E6" s="84">
        <v>3</v>
      </c>
      <c r="F6" s="85">
        <f t="shared" ref="F6:F7" si="0">C6+D6+E6</f>
        <v>115</v>
      </c>
      <c r="G6" s="88">
        <f t="shared" ref="G6:G7" si="1">B6-F6</f>
        <v>250</v>
      </c>
    </row>
    <row r="7" spans="1:7" ht="15.75" x14ac:dyDescent="0.2">
      <c r="A7" s="87">
        <v>3</v>
      </c>
      <c r="B7" s="85">
        <v>365</v>
      </c>
      <c r="C7" s="82">
        <v>104</v>
      </c>
      <c r="D7" s="83">
        <v>8</v>
      </c>
      <c r="E7" s="84">
        <v>3</v>
      </c>
      <c r="F7" s="85">
        <f t="shared" si="0"/>
        <v>115</v>
      </c>
      <c r="G7" s="88">
        <f t="shared" si="1"/>
        <v>250</v>
      </c>
    </row>
    <row r="8" spans="1:7" ht="15.75" x14ac:dyDescent="0.2">
      <c r="A8" s="174">
        <v>4</v>
      </c>
      <c r="B8" s="85">
        <v>365</v>
      </c>
      <c r="C8" s="82">
        <v>104</v>
      </c>
      <c r="D8" s="83">
        <v>8</v>
      </c>
      <c r="E8" s="84">
        <v>3</v>
      </c>
      <c r="F8" s="85">
        <f t="shared" ref="F8" si="2">C8+D8+E8</f>
        <v>115</v>
      </c>
      <c r="G8" s="88">
        <f t="shared" ref="G8" si="3">B8-F8</f>
        <v>250</v>
      </c>
    </row>
  </sheetData>
  <mergeCells count="5">
    <mergeCell ref="A2:G2"/>
    <mergeCell ref="C3:F3"/>
    <mergeCell ref="A3:A4"/>
    <mergeCell ref="B3:B4"/>
    <mergeCell ref="G3:G4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3"/>
  <sheetViews>
    <sheetView topLeftCell="A67" zoomScale="90" zoomScaleNormal="90" workbookViewId="0">
      <selection activeCell="F24" sqref="F24"/>
    </sheetView>
  </sheetViews>
  <sheetFormatPr defaultRowHeight="12.75" x14ac:dyDescent="0.2"/>
  <cols>
    <col min="1" max="1" width="7" customWidth="1"/>
    <col min="2" max="2" width="30.28515625" customWidth="1"/>
    <col min="3" max="3" width="11.5703125" customWidth="1"/>
    <col min="4" max="4" width="23.5703125" customWidth="1"/>
    <col min="5" max="5" width="11.85546875" style="93" customWidth="1"/>
    <col min="6" max="6" width="13.28515625" customWidth="1"/>
    <col min="7" max="7" width="10.7109375" customWidth="1"/>
    <col min="8" max="8" width="18.7109375" customWidth="1"/>
    <col min="9" max="9" width="6" customWidth="1"/>
    <col min="10" max="10" width="7.42578125" customWidth="1"/>
    <col min="11" max="11" width="7.28515625" customWidth="1"/>
    <col min="12" max="12" width="14.85546875" customWidth="1"/>
    <col min="17" max="17" width="12.140625" bestFit="1" customWidth="1"/>
  </cols>
  <sheetData>
    <row r="1" spans="1:14" ht="15.75" customHeight="1" x14ac:dyDescent="0.2">
      <c r="A1" s="228" t="s">
        <v>4</v>
      </c>
      <c r="B1" s="228"/>
      <c r="C1" s="228"/>
      <c r="D1" s="228"/>
      <c r="E1" s="228"/>
      <c r="F1" s="228"/>
      <c r="G1" s="228"/>
      <c r="H1" s="228"/>
      <c r="I1" s="228"/>
      <c r="J1" s="228"/>
      <c r="K1" s="1"/>
      <c r="L1" s="1"/>
      <c r="M1" s="1"/>
      <c r="N1" s="1"/>
    </row>
    <row r="2" spans="1:14" ht="13.5" thickBot="1" x14ac:dyDescent="0.25">
      <c r="A2" s="1"/>
      <c r="B2" s="1"/>
      <c r="C2" s="1"/>
      <c r="D2" s="1"/>
      <c r="E2" s="1"/>
      <c r="F2" s="89"/>
      <c r="G2" s="1"/>
      <c r="H2" s="1"/>
      <c r="I2" s="1"/>
      <c r="J2" s="1"/>
      <c r="K2" s="1"/>
      <c r="L2" s="1"/>
      <c r="M2" s="1"/>
      <c r="N2" s="1"/>
    </row>
    <row r="3" spans="1:14" ht="33.75" customHeight="1" x14ac:dyDescent="0.2">
      <c r="A3" s="203" t="s">
        <v>78</v>
      </c>
      <c r="B3" s="205" t="s">
        <v>5</v>
      </c>
      <c r="C3" s="205" t="s">
        <v>142</v>
      </c>
      <c r="D3" s="229" t="s">
        <v>6</v>
      </c>
      <c r="E3" s="231" t="s">
        <v>7</v>
      </c>
      <c r="F3" s="222"/>
      <c r="G3" s="224"/>
      <c r="H3" s="221"/>
      <c r="I3" s="221"/>
      <c r="J3" s="221"/>
      <c r="K3" s="221"/>
      <c r="L3" s="1"/>
      <c r="M3" s="1"/>
      <c r="N3" s="1"/>
    </row>
    <row r="4" spans="1:14" ht="27.75" customHeight="1" x14ac:dyDescent="0.2">
      <c r="A4" s="204"/>
      <c r="B4" s="206"/>
      <c r="C4" s="206"/>
      <c r="D4" s="230"/>
      <c r="E4" s="232"/>
      <c r="F4" s="223"/>
      <c r="G4" s="16"/>
      <c r="H4" s="16"/>
      <c r="I4" s="16"/>
      <c r="J4" s="16"/>
      <c r="K4" s="221"/>
      <c r="L4" s="1"/>
      <c r="M4" s="1"/>
      <c r="N4" s="1"/>
    </row>
    <row r="5" spans="1:14" ht="15.75" x14ac:dyDescent="0.25">
      <c r="A5" s="96">
        <v>1</v>
      </c>
      <c r="B5" s="49">
        <v>2</v>
      </c>
      <c r="C5" s="49">
        <v>3</v>
      </c>
      <c r="D5" s="49">
        <v>4</v>
      </c>
      <c r="E5" s="97">
        <v>6</v>
      </c>
      <c r="F5" s="94"/>
      <c r="G5" s="15"/>
      <c r="H5" s="15"/>
      <c r="I5" s="15"/>
      <c r="J5" s="15"/>
      <c r="K5" s="15"/>
      <c r="L5" s="1"/>
      <c r="M5" s="1"/>
      <c r="N5" s="1"/>
    </row>
    <row r="6" spans="1:14" ht="16.5" thickBot="1" x14ac:dyDescent="0.3">
      <c r="A6" s="96"/>
      <c r="B6" s="163"/>
      <c r="C6" s="163"/>
      <c r="D6" s="49"/>
      <c r="E6" s="97"/>
      <c r="F6" s="94"/>
      <c r="G6" s="15"/>
      <c r="H6" s="15"/>
      <c r="I6" s="15"/>
      <c r="J6" s="15"/>
      <c r="K6" s="15"/>
      <c r="L6" s="1"/>
      <c r="M6" s="1"/>
      <c r="N6" s="1"/>
    </row>
    <row r="7" spans="1:14" ht="16.5" customHeight="1" thickBot="1" x14ac:dyDescent="0.25">
      <c r="A7" s="204">
        <v>1</v>
      </c>
      <c r="B7" s="175" t="s">
        <v>152</v>
      </c>
      <c r="C7" s="177">
        <v>1</v>
      </c>
      <c r="D7" s="50">
        <f>Лист1!G5</f>
        <v>250</v>
      </c>
      <c r="E7" s="124">
        <f>D7*C7</f>
        <v>250</v>
      </c>
      <c r="F7" s="104"/>
      <c r="G7" s="7"/>
      <c r="H7" s="7"/>
      <c r="I7" s="22"/>
      <c r="J7" s="7"/>
      <c r="K7" s="7"/>
      <c r="L7" s="1"/>
      <c r="M7" s="1"/>
      <c r="N7" s="1"/>
    </row>
    <row r="8" spans="1:14" ht="18" customHeight="1" thickBot="1" x14ac:dyDescent="0.25">
      <c r="A8" s="204"/>
      <c r="B8" s="176" t="s">
        <v>153</v>
      </c>
      <c r="C8" s="178">
        <v>0.5</v>
      </c>
      <c r="D8" s="50">
        <v>250</v>
      </c>
      <c r="E8" s="124">
        <f t="shared" ref="E8:E9" si="0">D8*C8</f>
        <v>125</v>
      </c>
      <c r="F8" s="104"/>
      <c r="G8" s="7"/>
      <c r="H8" s="7"/>
      <c r="I8" s="22"/>
      <c r="J8" s="7"/>
      <c r="K8" s="7"/>
      <c r="L8" s="1"/>
      <c r="M8" s="1"/>
      <c r="N8" s="1"/>
    </row>
    <row r="9" spans="1:14" ht="18.75" customHeight="1" thickBot="1" x14ac:dyDescent="0.25">
      <c r="A9" s="204"/>
      <c r="B9" s="176" t="s">
        <v>154</v>
      </c>
      <c r="C9" s="178">
        <v>0.5</v>
      </c>
      <c r="D9" s="50">
        <v>250</v>
      </c>
      <c r="E9" s="124">
        <f t="shared" si="0"/>
        <v>125</v>
      </c>
      <c r="F9" s="104"/>
      <c r="G9" s="7"/>
      <c r="H9" s="7"/>
      <c r="I9" s="22"/>
      <c r="J9" s="7"/>
      <c r="K9" s="7"/>
      <c r="L9" s="1"/>
      <c r="M9" s="1"/>
      <c r="N9" s="1"/>
    </row>
    <row r="10" spans="1:14" ht="19.5" customHeight="1" thickBot="1" x14ac:dyDescent="0.25">
      <c r="A10" s="235">
        <v>2</v>
      </c>
      <c r="B10" s="175" t="s">
        <v>155</v>
      </c>
      <c r="C10" s="177">
        <v>1.4</v>
      </c>
      <c r="D10" s="50">
        <v>250</v>
      </c>
      <c r="E10" s="124">
        <f t="shared" ref="E10:E12" si="1">D10*C10</f>
        <v>350</v>
      </c>
      <c r="F10" s="104"/>
      <c r="G10" s="7"/>
      <c r="H10" s="7"/>
      <c r="I10" s="22"/>
      <c r="J10" s="7"/>
      <c r="K10" s="7"/>
      <c r="L10" s="1"/>
      <c r="M10" s="1"/>
      <c r="N10" s="1"/>
    </row>
    <row r="11" spans="1:14" ht="19.5" customHeight="1" thickBot="1" x14ac:dyDescent="0.25">
      <c r="A11" s="236"/>
      <c r="B11" s="176" t="s">
        <v>156</v>
      </c>
      <c r="C11" s="178">
        <v>1.4</v>
      </c>
      <c r="D11" s="50">
        <v>250</v>
      </c>
      <c r="E11" s="124">
        <f t="shared" si="1"/>
        <v>350</v>
      </c>
      <c r="F11" s="104"/>
      <c r="G11" s="7"/>
      <c r="H11" s="7"/>
      <c r="I11" s="22"/>
      <c r="J11" s="7"/>
      <c r="K11" s="7"/>
      <c r="L11" s="1"/>
      <c r="M11" s="1"/>
      <c r="N11" s="1"/>
    </row>
    <row r="12" spans="1:14" ht="19.5" customHeight="1" thickBot="1" x14ac:dyDescent="0.25">
      <c r="A12" s="236"/>
      <c r="B12" s="176" t="s">
        <v>157</v>
      </c>
      <c r="C12" s="178">
        <v>1.4</v>
      </c>
      <c r="D12" s="50">
        <v>250</v>
      </c>
      <c r="E12" s="124">
        <f t="shared" si="1"/>
        <v>350</v>
      </c>
      <c r="F12" s="104"/>
      <c r="G12" s="7"/>
      <c r="H12" s="7"/>
      <c r="I12" s="22"/>
      <c r="J12" s="7"/>
      <c r="K12" s="7"/>
      <c r="L12" s="1"/>
      <c r="M12" s="1"/>
      <c r="N12" s="1"/>
    </row>
    <row r="13" spans="1:14" s="18" customFormat="1" ht="18.75" customHeight="1" thickBot="1" x14ac:dyDescent="0.25">
      <c r="A13" s="237">
        <v>3</v>
      </c>
      <c r="B13" s="175" t="s">
        <v>158</v>
      </c>
      <c r="C13" s="177">
        <v>1.4</v>
      </c>
      <c r="D13" s="50">
        <v>250</v>
      </c>
      <c r="E13" s="124">
        <f t="shared" ref="E13:E15" si="2">D13*C13</f>
        <v>350</v>
      </c>
      <c r="F13" s="104"/>
      <c r="G13" s="17"/>
      <c r="H13" s="17"/>
      <c r="I13" s="23"/>
      <c r="J13" s="17"/>
      <c r="K13" s="17"/>
      <c r="L13" s="16"/>
      <c r="M13" s="16"/>
      <c r="N13" s="16"/>
    </row>
    <row r="14" spans="1:14" s="18" customFormat="1" ht="17.25" customHeight="1" thickBot="1" x14ac:dyDescent="0.25">
      <c r="A14" s="238"/>
      <c r="B14" s="176" t="s">
        <v>159</v>
      </c>
      <c r="C14" s="178">
        <v>1.4</v>
      </c>
      <c r="D14" s="50">
        <v>250</v>
      </c>
      <c r="E14" s="124">
        <f t="shared" si="2"/>
        <v>350</v>
      </c>
      <c r="F14" s="104"/>
      <c r="G14" s="17"/>
      <c r="H14" s="17"/>
      <c r="I14" s="23"/>
      <c r="J14" s="17"/>
      <c r="K14" s="17"/>
      <c r="L14" s="16"/>
      <c r="M14" s="16"/>
      <c r="N14" s="16"/>
    </row>
    <row r="15" spans="1:14" ht="16.5" customHeight="1" thickBot="1" x14ac:dyDescent="0.25">
      <c r="A15" s="239"/>
      <c r="B15" s="176" t="s">
        <v>160</v>
      </c>
      <c r="C15" s="178">
        <v>1.5</v>
      </c>
      <c r="D15" s="50">
        <v>250</v>
      </c>
      <c r="E15" s="124">
        <f t="shared" si="2"/>
        <v>375</v>
      </c>
      <c r="F15" s="104"/>
      <c r="G15" s="24"/>
      <c r="H15" s="7"/>
      <c r="I15" s="22"/>
      <c r="J15" s="7"/>
      <c r="K15" s="7"/>
      <c r="L15" s="1"/>
      <c r="M15" s="1"/>
      <c r="N15" s="1"/>
    </row>
    <row r="16" spans="1:14" ht="15.75" customHeight="1" thickBot="1" x14ac:dyDescent="0.3">
      <c r="A16" s="233" t="s">
        <v>60</v>
      </c>
      <c r="B16" s="234"/>
      <c r="C16" s="98">
        <f>SUM(C7:C15)</f>
        <v>10.5</v>
      </c>
      <c r="D16" s="98">
        <v>250</v>
      </c>
      <c r="E16" s="99">
        <f>SUM(E7:E15)</f>
        <v>2625</v>
      </c>
      <c r="F16" s="95"/>
      <c r="G16" s="7"/>
      <c r="H16" s="7"/>
      <c r="I16" s="7"/>
      <c r="J16" s="7"/>
      <c r="K16" s="7"/>
      <c r="L16" s="1"/>
      <c r="M16" s="1"/>
      <c r="N16" s="1"/>
    </row>
    <row r="17" spans="1:17" x14ac:dyDescent="0.2">
      <c r="A17" s="1"/>
      <c r="B17" s="1"/>
      <c r="C17" s="2"/>
      <c r="D17" s="2"/>
      <c r="E17" s="2"/>
      <c r="F17" s="90"/>
      <c r="G17" s="2"/>
      <c r="H17" s="9"/>
      <c r="I17" s="2"/>
      <c r="J17" s="2"/>
      <c r="K17" s="9"/>
      <c r="L17" s="1"/>
      <c r="M17" s="1"/>
      <c r="N17" s="1"/>
    </row>
    <row r="18" spans="1:17" x14ac:dyDescent="0.2">
      <c r="E18"/>
    </row>
    <row r="19" spans="1:17" ht="33" customHeight="1" x14ac:dyDescent="0.2">
      <c r="B19" s="240" t="s">
        <v>9</v>
      </c>
      <c r="C19" s="240"/>
      <c r="D19" s="240"/>
      <c r="E19" s="240"/>
      <c r="F19" s="240"/>
      <c r="G19" s="240"/>
      <c r="H19" s="240"/>
    </row>
    <row r="20" spans="1:17" ht="0.75" customHeight="1" x14ac:dyDescent="0.2">
      <c r="B20" s="226" t="s">
        <v>9</v>
      </c>
      <c r="C20" s="226"/>
      <c r="D20" s="226"/>
      <c r="E20" s="226"/>
      <c r="F20" s="226"/>
      <c r="G20" s="226"/>
      <c r="H20" s="226"/>
    </row>
    <row r="21" spans="1:17" ht="135" customHeight="1" x14ac:dyDescent="0.2">
      <c r="B21" s="118" t="s">
        <v>61</v>
      </c>
      <c r="C21" s="50" t="s">
        <v>7</v>
      </c>
      <c r="D21" s="50" t="s">
        <v>10</v>
      </c>
      <c r="E21" s="50" t="s">
        <v>150</v>
      </c>
      <c r="F21" s="50" t="s">
        <v>11</v>
      </c>
      <c r="G21" s="50" t="s">
        <v>97</v>
      </c>
      <c r="H21" s="50" t="s">
        <v>75</v>
      </c>
    </row>
    <row r="22" spans="1:17" ht="13.5" thickBot="1" x14ac:dyDescent="0.25">
      <c r="B22" s="125">
        <v>1</v>
      </c>
      <c r="C22" s="125">
        <v>2</v>
      </c>
      <c r="D22" s="125">
        <v>3</v>
      </c>
      <c r="E22" s="125">
        <v>5</v>
      </c>
      <c r="F22" s="125">
        <v>6</v>
      </c>
      <c r="G22" s="125">
        <v>7</v>
      </c>
      <c r="H22" s="126">
        <v>8</v>
      </c>
    </row>
    <row r="23" spans="1:17" ht="12" customHeight="1" thickBot="1" x14ac:dyDescent="0.25">
      <c r="B23" s="218" t="str">
        <f>B7</f>
        <v>Пастила «Двухслойная»</v>
      </c>
      <c r="C23" s="220">
        <f>E7</f>
        <v>250</v>
      </c>
      <c r="D23" s="179" t="s">
        <v>149</v>
      </c>
      <c r="E23" s="181">
        <v>663.9</v>
      </c>
      <c r="F23" s="169">
        <f>E23*C23/1000</f>
        <v>165.97499999999999</v>
      </c>
      <c r="G23" s="53">
        <v>45</v>
      </c>
      <c r="H23" s="53">
        <f>G23*F23</f>
        <v>7468.875</v>
      </c>
      <c r="J23">
        <f>G23*1.15</f>
        <v>51.749999999999993</v>
      </c>
      <c r="K23" s="211"/>
      <c r="L23" s="16"/>
      <c r="M23" s="209"/>
      <c r="N23" s="25"/>
      <c r="O23" s="25"/>
      <c r="P23" s="25"/>
      <c r="Q23" s="25"/>
    </row>
    <row r="24" spans="1:17" ht="15.75" thickBot="1" x14ac:dyDescent="0.25">
      <c r="B24" s="218"/>
      <c r="C24" s="220"/>
      <c r="D24" s="180" t="s">
        <v>98</v>
      </c>
      <c r="E24" s="165">
        <v>107.9</v>
      </c>
      <c r="F24" s="169">
        <f>E24*C23/1000</f>
        <v>26.975000000000001</v>
      </c>
      <c r="G24" s="53">
        <v>45</v>
      </c>
      <c r="H24" s="53">
        <f t="shared" ref="H24:H32" si="3">G24*F24</f>
        <v>1213.875</v>
      </c>
      <c r="K24" s="210"/>
      <c r="L24" s="16"/>
      <c r="M24" s="209"/>
      <c r="N24" s="25"/>
      <c r="O24" s="25"/>
      <c r="P24" s="25"/>
      <c r="Q24" s="25"/>
    </row>
    <row r="25" spans="1:17" ht="15.75" thickBot="1" x14ac:dyDescent="0.25">
      <c r="B25" s="218"/>
      <c r="C25" s="220"/>
      <c r="D25" s="180" t="s">
        <v>145</v>
      </c>
      <c r="E25" s="165">
        <v>612</v>
      </c>
      <c r="F25" s="169">
        <f>E25*C23/1000</f>
        <v>153</v>
      </c>
      <c r="G25" s="53">
        <v>45</v>
      </c>
      <c r="H25" s="53">
        <f t="shared" si="3"/>
        <v>6885</v>
      </c>
      <c r="K25" s="210"/>
      <c r="L25" s="16"/>
      <c r="M25" s="209"/>
      <c r="N25" s="25"/>
      <c r="O25" s="25"/>
      <c r="P25" s="25"/>
      <c r="Q25" s="26"/>
    </row>
    <row r="26" spans="1:17" ht="12" customHeight="1" thickBot="1" x14ac:dyDescent="0.25">
      <c r="B26" s="218"/>
      <c r="C26" s="220"/>
      <c r="D26" s="180" t="s">
        <v>161</v>
      </c>
      <c r="E26" s="165">
        <v>40</v>
      </c>
      <c r="F26" s="169">
        <f>E26*C23/1000</f>
        <v>10</v>
      </c>
      <c r="G26" s="53">
        <v>55</v>
      </c>
      <c r="H26" s="53">
        <f t="shared" si="3"/>
        <v>550</v>
      </c>
      <c r="K26" s="210"/>
      <c r="L26" s="16"/>
      <c r="M26" s="209"/>
      <c r="N26" s="25"/>
      <c r="O26" s="25"/>
      <c r="P26" s="25"/>
      <c r="Q26" s="25"/>
    </row>
    <row r="27" spans="1:17" ht="16.5" customHeight="1" thickBot="1" x14ac:dyDescent="0.25">
      <c r="B27" s="218"/>
      <c r="C27" s="220"/>
      <c r="D27" s="180" t="s">
        <v>162</v>
      </c>
      <c r="E27" s="165">
        <v>23.4</v>
      </c>
      <c r="F27" s="169">
        <f>E27*C23/1000</f>
        <v>5.85</v>
      </c>
      <c r="G27" s="53">
        <v>50</v>
      </c>
      <c r="H27" s="53">
        <f t="shared" si="3"/>
        <v>292.5</v>
      </c>
      <c r="K27" s="210"/>
      <c r="L27" s="16"/>
      <c r="M27" s="209"/>
      <c r="N27" s="25"/>
      <c r="O27" s="25"/>
      <c r="P27" s="25"/>
      <c r="Q27" s="25"/>
    </row>
    <row r="28" spans="1:17" ht="15" customHeight="1" thickBot="1" x14ac:dyDescent="0.25">
      <c r="B28" s="218"/>
      <c r="C28" s="220"/>
      <c r="D28" s="180" t="s">
        <v>163</v>
      </c>
      <c r="E28" s="165">
        <v>5</v>
      </c>
      <c r="F28" s="169">
        <f>E28*C23/1000</f>
        <v>1.25</v>
      </c>
      <c r="G28" s="53">
        <v>120</v>
      </c>
      <c r="H28" s="53">
        <f t="shared" si="3"/>
        <v>150</v>
      </c>
      <c r="K28" s="210"/>
      <c r="L28" s="16"/>
      <c r="M28" s="209"/>
      <c r="N28" s="25"/>
      <c r="O28" s="25"/>
      <c r="P28" s="25"/>
      <c r="Q28" s="25"/>
    </row>
    <row r="29" spans="1:17" ht="15" customHeight="1" x14ac:dyDescent="0.2">
      <c r="B29" s="218"/>
      <c r="C29" s="220"/>
      <c r="D29" s="182" t="s">
        <v>164</v>
      </c>
      <c r="E29" s="183">
        <v>6</v>
      </c>
      <c r="F29" s="169">
        <f>E29*C23/1000</f>
        <v>1.5</v>
      </c>
      <c r="G29" s="53">
        <v>450</v>
      </c>
      <c r="H29" s="53">
        <f t="shared" si="3"/>
        <v>675</v>
      </c>
      <c r="K29" s="210"/>
      <c r="L29" s="16"/>
      <c r="M29" s="209"/>
      <c r="N29" s="25"/>
      <c r="O29" s="25"/>
      <c r="P29" s="25"/>
      <c r="Q29" s="25"/>
    </row>
    <row r="30" spans="1:17" ht="12.75" customHeight="1" x14ac:dyDescent="0.25">
      <c r="B30" s="218"/>
      <c r="C30" s="220"/>
      <c r="D30" s="168" t="s">
        <v>147</v>
      </c>
      <c r="E30" s="167">
        <v>0.8</v>
      </c>
      <c r="F30" s="169">
        <f>E30*C23/1000</f>
        <v>0.2</v>
      </c>
      <c r="G30" s="53">
        <v>10</v>
      </c>
      <c r="H30" s="53">
        <f t="shared" si="3"/>
        <v>2</v>
      </c>
      <c r="K30" s="210"/>
      <c r="L30" s="16"/>
      <c r="M30" s="209"/>
      <c r="N30" s="25"/>
      <c r="O30" s="25"/>
      <c r="P30" s="25"/>
      <c r="Q30" s="25"/>
    </row>
    <row r="31" spans="1:17" ht="11.25" customHeight="1" x14ac:dyDescent="0.2">
      <c r="B31" s="218"/>
      <c r="C31" s="220"/>
      <c r="D31" s="157" t="s">
        <v>165</v>
      </c>
      <c r="E31" s="184">
        <v>20</v>
      </c>
      <c r="F31" s="169">
        <f>E31*C23/1000</f>
        <v>5</v>
      </c>
      <c r="G31" s="53">
        <v>15</v>
      </c>
      <c r="H31" s="53">
        <f t="shared" si="3"/>
        <v>75</v>
      </c>
      <c r="K31" s="210"/>
      <c r="L31" s="16"/>
      <c r="M31" s="209"/>
      <c r="N31" s="25"/>
      <c r="O31" s="25"/>
      <c r="P31" s="25"/>
      <c r="Q31" s="25"/>
    </row>
    <row r="32" spans="1:17" ht="16.5" customHeight="1" thickBot="1" x14ac:dyDescent="0.3">
      <c r="B32" s="218"/>
      <c r="C32" s="220"/>
      <c r="D32" s="168" t="s">
        <v>148</v>
      </c>
      <c r="E32" s="166">
        <v>74</v>
      </c>
      <c r="F32" s="169">
        <f>E32*C23/1000</f>
        <v>18.5</v>
      </c>
      <c r="G32" s="53">
        <v>20</v>
      </c>
      <c r="H32" s="53">
        <f t="shared" si="3"/>
        <v>370</v>
      </c>
      <c r="K32" s="210"/>
      <c r="L32" s="16"/>
      <c r="M32" s="209"/>
      <c r="N32" s="25"/>
      <c r="O32" s="25"/>
      <c r="P32" s="25"/>
      <c r="Q32" s="25"/>
    </row>
    <row r="33" spans="2:17" ht="17.25" customHeight="1" thickBot="1" x14ac:dyDescent="0.25">
      <c r="B33" s="218"/>
      <c r="C33" s="219"/>
      <c r="D33" s="127"/>
      <c r="E33" s="164" t="s">
        <v>14</v>
      </c>
      <c r="F33" s="164">
        <f>H33/C23</f>
        <v>70.728999999999999</v>
      </c>
      <c r="G33" s="164" t="s">
        <v>59</v>
      </c>
      <c r="H33" s="164">
        <f>SUM(H23:H32)</f>
        <v>17682.25</v>
      </c>
      <c r="K33" s="210"/>
      <c r="L33" s="16"/>
      <c r="M33" s="209"/>
      <c r="N33" s="25"/>
      <c r="O33" s="25"/>
      <c r="P33" s="25"/>
      <c r="Q33" s="25"/>
    </row>
    <row r="34" spans="2:17" ht="17.25" customHeight="1" thickBot="1" x14ac:dyDescent="0.25">
      <c r="B34" s="212" t="str">
        <f>B8</f>
        <v>Пастила «Малиновая»</v>
      </c>
      <c r="C34" s="215">
        <f>E8</f>
        <v>125</v>
      </c>
      <c r="D34" s="179" t="s">
        <v>149</v>
      </c>
      <c r="E34" s="181">
        <v>627.79999999999995</v>
      </c>
      <c r="F34" s="129">
        <f>E34*C34/1000</f>
        <v>78.474999999999994</v>
      </c>
      <c r="G34" s="53">
        <v>45</v>
      </c>
      <c r="H34" s="129">
        <f>G34*F34</f>
        <v>3531.3749999999995</v>
      </c>
      <c r="K34" s="210"/>
      <c r="L34" s="16"/>
      <c r="M34" s="209"/>
      <c r="N34" s="25"/>
      <c r="O34" s="25"/>
      <c r="P34" s="25"/>
      <c r="Q34" s="25"/>
    </row>
    <row r="35" spans="2:17" ht="17.25" customHeight="1" thickBot="1" x14ac:dyDescent="0.25">
      <c r="B35" s="213"/>
      <c r="C35" s="216"/>
      <c r="D35" s="180" t="s">
        <v>98</v>
      </c>
      <c r="E35" s="165">
        <v>107.9</v>
      </c>
      <c r="F35" s="129">
        <f>E35*C34/1000</f>
        <v>13.487500000000001</v>
      </c>
      <c r="G35" s="53">
        <v>45</v>
      </c>
      <c r="H35" s="129">
        <f>G35*F35</f>
        <v>606.9375</v>
      </c>
      <c r="K35" s="210"/>
      <c r="L35" s="16"/>
      <c r="M35" s="209"/>
      <c r="N35" s="25"/>
      <c r="O35" s="25"/>
      <c r="P35" s="25"/>
      <c r="Q35" s="25"/>
    </row>
    <row r="36" spans="2:17" ht="17.25" customHeight="1" thickBot="1" x14ac:dyDescent="0.25">
      <c r="B36" s="213"/>
      <c r="C36" s="216"/>
      <c r="D36" s="180" t="s">
        <v>145</v>
      </c>
      <c r="E36" s="165">
        <v>557</v>
      </c>
      <c r="F36" s="129">
        <f>E36*C34/1000</f>
        <v>69.625</v>
      </c>
      <c r="G36" s="100">
        <v>45</v>
      </c>
      <c r="H36" s="129">
        <f t="shared" ref="H36:H43" si="4">G36*F36</f>
        <v>3133.125</v>
      </c>
      <c r="K36" s="210"/>
      <c r="L36" s="16"/>
      <c r="M36" s="209"/>
      <c r="N36" s="25"/>
      <c r="O36" s="25"/>
      <c r="P36" s="25"/>
      <c r="Q36" s="25"/>
    </row>
    <row r="37" spans="2:17" ht="26.25" customHeight="1" thickBot="1" x14ac:dyDescent="0.25">
      <c r="B37" s="213"/>
      <c r="C37" s="216"/>
      <c r="D37" s="180" t="s">
        <v>161</v>
      </c>
      <c r="E37" s="165">
        <v>110</v>
      </c>
      <c r="F37" s="129">
        <f>E37*C34/1000</f>
        <v>13.75</v>
      </c>
      <c r="G37" s="129">
        <v>55</v>
      </c>
      <c r="H37" s="129">
        <f t="shared" si="4"/>
        <v>756.25</v>
      </c>
      <c r="K37" s="210"/>
      <c r="L37" s="16"/>
      <c r="M37" s="209"/>
      <c r="N37" s="25"/>
      <c r="O37" s="25"/>
      <c r="P37" s="25"/>
      <c r="Q37" s="25"/>
    </row>
    <row r="38" spans="2:17" ht="17.25" customHeight="1" thickBot="1" x14ac:dyDescent="0.25">
      <c r="B38" s="213"/>
      <c r="C38" s="216"/>
      <c r="D38" s="180" t="s">
        <v>162</v>
      </c>
      <c r="E38" s="165">
        <v>25</v>
      </c>
      <c r="F38" s="129">
        <f>E38*C34/1000</f>
        <v>3.125</v>
      </c>
      <c r="G38" s="100">
        <v>50</v>
      </c>
      <c r="H38" s="129">
        <f t="shared" si="4"/>
        <v>156.25</v>
      </c>
      <c r="K38" s="210"/>
      <c r="L38" s="16"/>
      <c r="M38" s="209"/>
      <c r="N38" s="25"/>
      <c r="O38" s="25"/>
      <c r="P38" s="25"/>
      <c r="Q38" s="25"/>
    </row>
    <row r="39" spans="2:17" ht="16.5" customHeight="1" thickBot="1" x14ac:dyDescent="0.25">
      <c r="B39" s="213"/>
      <c r="C39" s="216"/>
      <c r="D39" s="179" t="s">
        <v>164</v>
      </c>
      <c r="E39" s="181">
        <v>6</v>
      </c>
      <c r="F39" s="129">
        <f>E39*C34/1000</f>
        <v>0.75</v>
      </c>
      <c r="G39" s="129">
        <v>450</v>
      </c>
      <c r="H39" s="129">
        <f t="shared" si="4"/>
        <v>337.5</v>
      </c>
      <c r="K39" s="210"/>
      <c r="L39" s="16"/>
      <c r="M39" s="209"/>
      <c r="N39" s="25"/>
      <c r="O39" s="25"/>
      <c r="P39" s="25"/>
      <c r="Q39" s="25"/>
    </row>
    <row r="40" spans="2:17" ht="16.5" customHeight="1" thickBot="1" x14ac:dyDescent="0.25">
      <c r="B40" s="213"/>
      <c r="C40" s="216"/>
      <c r="D40" s="180" t="s">
        <v>143</v>
      </c>
      <c r="E40" s="165">
        <v>1.3</v>
      </c>
      <c r="F40" s="129">
        <f>E40*C34/1000</f>
        <v>0.16250000000000001</v>
      </c>
      <c r="G40" s="129">
        <v>100</v>
      </c>
      <c r="H40" s="129">
        <f t="shared" si="4"/>
        <v>16.25</v>
      </c>
      <c r="K40" s="210"/>
      <c r="L40" s="16"/>
      <c r="M40" s="209"/>
      <c r="N40" s="25"/>
      <c r="O40" s="25"/>
      <c r="P40" s="25"/>
      <c r="Q40" s="25"/>
    </row>
    <row r="41" spans="2:17" ht="17.25" customHeight="1" thickBot="1" x14ac:dyDescent="0.25">
      <c r="B41" s="213"/>
      <c r="C41" s="216"/>
      <c r="D41" s="156" t="s">
        <v>166</v>
      </c>
      <c r="E41" s="171">
        <v>10</v>
      </c>
      <c r="F41" s="129">
        <f>E41*C34/1000</f>
        <v>1.25</v>
      </c>
      <c r="G41" s="100">
        <v>20</v>
      </c>
      <c r="H41" s="129">
        <f t="shared" si="4"/>
        <v>25</v>
      </c>
      <c r="K41" s="210"/>
      <c r="L41" s="16"/>
      <c r="M41" s="209"/>
      <c r="N41" s="25"/>
      <c r="O41" s="25"/>
      <c r="P41" s="25"/>
      <c r="Q41" s="25"/>
    </row>
    <row r="42" spans="2:17" ht="17.25" customHeight="1" x14ac:dyDescent="0.25">
      <c r="B42" s="213"/>
      <c r="C42" s="216"/>
      <c r="D42" s="168" t="s">
        <v>147</v>
      </c>
      <c r="E42" s="100">
        <v>3.3</v>
      </c>
      <c r="F42" s="129">
        <f>E42*C34/1000</f>
        <v>0.41249999999999998</v>
      </c>
      <c r="G42" s="100">
        <v>10</v>
      </c>
      <c r="H42" s="129">
        <f t="shared" si="4"/>
        <v>4.125</v>
      </c>
      <c r="K42" s="210"/>
      <c r="L42" s="16"/>
      <c r="M42" s="209"/>
      <c r="N42" s="25"/>
      <c r="O42" s="25"/>
      <c r="P42" s="25"/>
      <c r="Q42" s="25"/>
    </row>
    <row r="43" spans="2:17" ht="17.25" customHeight="1" x14ac:dyDescent="0.25">
      <c r="B43" s="213"/>
      <c r="C43" s="216"/>
      <c r="D43" s="168" t="s">
        <v>148</v>
      </c>
      <c r="E43" s="100">
        <v>334</v>
      </c>
      <c r="F43" s="129">
        <f>E43*C34/1000</f>
        <v>41.75</v>
      </c>
      <c r="G43" s="100">
        <v>18</v>
      </c>
      <c r="H43" s="129">
        <f t="shared" si="4"/>
        <v>751.5</v>
      </c>
      <c r="K43" s="210"/>
      <c r="L43" s="16"/>
      <c r="M43" s="209"/>
      <c r="N43" s="25"/>
      <c r="O43" s="25"/>
      <c r="P43" s="25"/>
      <c r="Q43" s="25"/>
    </row>
    <row r="44" spans="2:17" ht="24.75" customHeight="1" thickBot="1" x14ac:dyDescent="0.25">
      <c r="B44" s="214"/>
      <c r="C44" s="217"/>
      <c r="D44" s="127"/>
      <c r="E44" s="160" t="s">
        <v>14</v>
      </c>
      <c r="F44" s="128">
        <f>H44/C34</f>
        <v>74.546499999999995</v>
      </c>
      <c r="G44" s="128" t="s">
        <v>59</v>
      </c>
      <c r="H44" s="128">
        <f>SUM(H34:H43)</f>
        <v>9318.3125</v>
      </c>
      <c r="K44" s="210"/>
      <c r="L44" s="16"/>
      <c r="M44" s="209"/>
      <c r="N44" s="27"/>
      <c r="O44" s="25"/>
      <c r="P44" s="25"/>
      <c r="Q44" s="26"/>
    </row>
    <row r="45" spans="2:17" ht="15" customHeight="1" thickBot="1" x14ac:dyDescent="0.25">
      <c r="B45" s="212" t="str">
        <f>B9</f>
        <v>Пастила «Клюквенная»</v>
      </c>
      <c r="C45" s="215">
        <f>E9</f>
        <v>125</v>
      </c>
      <c r="D45" s="179" t="s">
        <v>149</v>
      </c>
      <c r="E45" s="181">
        <v>687.3</v>
      </c>
      <c r="F45" s="158">
        <f>E45*C45/1000</f>
        <v>85.912499999999994</v>
      </c>
      <c r="G45" s="100">
        <v>45</v>
      </c>
      <c r="H45" s="129">
        <f>G45*F45</f>
        <v>3866.0624999999995</v>
      </c>
      <c r="K45" s="210"/>
      <c r="L45" s="16"/>
      <c r="M45" s="209"/>
      <c r="N45" s="27"/>
      <c r="O45" s="25"/>
      <c r="P45" s="25"/>
      <c r="Q45" s="26"/>
    </row>
    <row r="46" spans="2:17" ht="15.75" thickBot="1" x14ac:dyDescent="0.3">
      <c r="B46" s="213"/>
      <c r="C46" s="216"/>
      <c r="D46" s="180" t="s">
        <v>98</v>
      </c>
      <c r="E46" s="165">
        <v>107.9</v>
      </c>
      <c r="F46" s="159">
        <f>E46*C45/1000</f>
        <v>13.487500000000001</v>
      </c>
      <c r="G46" s="100">
        <v>45</v>
      </c>
      <c r="H46" s="129">
        <f t="shared" ref="H46:H50" si="5">G46*F46</f>
        <v>606.9375</v>
      </c>
      <c r="K46" s="210"/>
      <c r="M46" s="209"/>
      <c r="N46" s="28"/>
      <c r="O46" s="29"/>
      <c r="P46" s="29"/>
      <c r="Q46" s="29"/>
    </row>
    <row r="47" spans="2:17" ht="15" thickBot="1" x14ac:dyDescent="0.25">
      <c r="B47" s="213"/>
      <c r="C47" s="216"/>
      <c r="D47" s="180" t="s">
        <v>145</v>
      </c>
      <c r="E47" s="165">
        <v>547</v>
      </c>
      <c r="F47" s="159">
        <f>E47*C45/1000</f>
        <v>68.375</v>
      </c>
      <c r="G47" s="100">
        <v>45</v>
      </c>
      <c r="H47" s="129">
        <f t="shared" si="5"/>
        <v>3076.875</v>
      </c>
      <c r="K47" s="210"/>
      <c r="L47" s="16"/>
      <c r="M47" s="209"/>
      <c r="N47" s="25"/>
      <c r="O47" s="25"/>
      <c r="P47" s="25"/>
      <c r="Q47" s="25"/>
    </row>
    <row r="48" spans="2:17" ht="14.25" customHeight="1" thickBot="1" x14ac:dyDescent="0.25">
      <c r="B48" s="213"/>
      <c r="C48" s="216"/>
      <c r="D48" s="179" t="s">
        <v>162</v>
      </c>
      <c r="E48" s="181">
        <v>25</v>
      </c>
      <c r="F48" s="159">
        <f>E48*C45/1000</f>
        <v>3.125</v>
      </c>
      <c r="G48" s="100">
        <v>50</v>
      </c>
      <c r="H48" s="129">
        <f t="shared" si="5"/>
        <v>156.25</v>
      </c>
      <c r="K48" s="210"/>
      <c r="L48" s="16"/>
      <c r="M48" s="209"/>
      <c r="N48" s="25"/>
      <c r="O48" s="25"/>
      <c r="P48" s="25"/>
      <c r="Q48" s="25"/>
    </row>
    <row r="49" spans="2:17" ht="15" thickBot="1" x14ac:dyDescent="0.25">
      <c r="B49" s="213"/>
      <c r="C49" s="216"/>
      <c r="D49" s="180" t="s">
        <v>163</v>
      </c>
      <c r="E49" s="165">
        <v>6</v>
      </c>
      <c r="F49" s="159">
        <f>E49*C45/1000</f>
        <v>0.75</v>
      </c>
      <c r="G49" s="100">
        <v>120</v>
      </c>
      <c r="H49" s="129">
        <f t="shared" si="5"/>
        <v>90</v>
      </c>
      <c r="K49" s="210"/>
      <c r="L49" s="16"/>
      <c r="M49" s="209"/>
      <c r="N49" s="25"/>
      <c r="O49" s="25"/>
      <c r="P49" s="25"/>
      <c r="Q49" s="25"/>
    </row>
    <row r="50" spans="2:17" ht="15.75" customHeight="1" thickBot="1" x14ac:dyDescent="0.25">
      <c r="B50" s="213"/>
      <c r="C50" s="216"/>
      <c r="D50" s="180" t="s">
        <v>164</v>
      </c>
      <c r="E50" s="165">
        <v>6</v>
      </c>
      <c r="F50" s="159">
        <f>E50*C45/1000</f>
        <v>0.75</v>
      </c>
      <c r="G50" s="100">
        <v>450</v>
      </c>
      <c r="H50" s="129">
        <f t="shared" si="5"/>
        <v>337.5</v>
      </c>
      <c r="K50" s="210"/>
      <c r="L50" s="16"/>
      <c r="M50" s="209"/>
      <c r="N50" s="25"/>
      <c r="O50" s="25"/>
      <c r="P50" s="25"/>
      <c r="Q50" s="25"/>
    </row>
    <row r="51" spans="2:17" ht="15.75" customHeight="1" thickBot="1" x14ac:dyDescent="0.25">
      <c r="B51" s="213"/>
      <c r="C51" s="216"/>
      <c r="D51" s="179" t="s">
        <v>167</v>
      </c>
      <c r="E51" s="181">
        <v>81.2</v>
      </c>
      <c r="F51" s="159">
        <f>E51*C45/1000</f>
        <v>10.15</v>
      </c>
      <c r="G51" s="100">
        <v>55</v>
      </c>
      <c r="H51" s="129">
        <v>600</v>
      </c>
      <c r="K51" s="210"/>
      <c r="L51" s="16"/>
      <c r="M51" s="209"/>
      <c r="N51" s="25"/>
      <c r="O51" s="25"/>
      <c r="P51" s="25"/>
      <c r="Q51" s="25"/>
    </row>
    <row r="52" spans="2:17" ht="18" customHeight="1" thickBot="1" x14ac:dyDescent="0.25">
      <c r="B52" s="213"/>
      <c r="C52" s="216"/>
      <c r="D52" s="180" t="s">
        <v>168</v>
      </c>
      <c r="E52" s="165">
        <v>1</v>
      </c>
      <c r="F52" s="159">
        <f>E52*C45/1000</f>
        <v>0.125</v>
      </c>
      <c r="G52" s="100">
        <v>250</v>
      </c>
      <c r="H52" s="129">
        <v>805</v>
      </c>
      <c r="K52" s="210"/>
      <c r="L52" s="16"/>
      <c r="M52" s="209"/>
      <c r="N52" s="25"/>
      <c r="O52" s="25"/>
      <c r="P52" s="25"/>
      <c r="Q52" s="25"/>
    </row>
    <row r="53" spans="2:17" ht="18" customHeight="1" thickBot="1" x14ac:dyDescent="0.25">
      <c r="B53" s="213"/>
      <c r="C53" s="216"/>
      <c r="D53" s="179" t="s">
        <v>144</v>
      </c>
      <c r="E53" s="165">
        <v>0.6</v>
      </c>
      <c r="F53" s="159">
        <f>E53*C45/1000</f>
        <v>7.4999999999999997E-2</v>
      </c>
      <c r="G53" s="100">
        <v>250</v>
      </c>
      <c r="H53" s="129">
        <v>275</v>
      </c>
      <c r="K53" s="210"/>
      <c r="L53" s="16"/>
      <c r="M53" s="209"/>
      <c r="N53" s="25"/>
      <c r="O53" s="25"/>
      <c r="P53" s="25"/>
      <c r="Q53" s="25"/>
    </row>
    <row r="54" spans="2:17" ht="18" customHeight="1" thickBot="1" x14ac:dyDescent="0.25">
      <c r="B54" s="213"/>
      <c r="C54" s="216"/>
      <c r="D54" s="180" t="s">
        <v>169</v>
      </c>
      <c r="E54" s="165">
        <v>2</v>
      </c>
      <c r="F54" s="159">
        <f>E54*C45/1000</f>
        <v>0.25</v>
      </c>
      <c r="G54" s="100">
        <v>300</v>
      </c>
      <c r="H54" s="129">
        <v>20</v>
      </c>
      <c r="K54" s="210"/>
      <c r="L54" s="16"/>
      <c r="M54" s="209"/>
      <c r="N54" s="25"/>
      <c r="O54" s="25"/>
      <c r="P54" s="25"/>
      <c r="Q54" s="25"/>
    </row>
    <row r="55" spans="2:17" ht="19.5" customHeight="1" thickBot="1" x14ac:dyDescent="0.25">
      <c r="B55" s="213"/>
      <c r="C55" s="216"/>
      <c r="D55" s="156" t="s">
        <v>166</v>
      </c>
      <c r="E55" s="171">
        <v>10</v>
      </c>
      <c r="F55" s="159">
        <f>E55*C45/1000</f>
        <v>1.25</v>
      </c>
      <c r="G55" s="100">
        <v>20</v>
      </c>
      <c r="H55" s="129">
        <v>13</v>
      </c>
      <c r="K55" s="210"/>
      <c r="L55" s="16"/>
      <c r="M55" s="209"/>
      <c r="N55" s="25"/>
      <c r="O55" s="25"/>
      <c r="P55" s="25"/>
      <c r="Q55" s="25"/>
    </row>
    <row r="56" spans="2:17" ht="17.25" customHeight="1" x14ac:dyDescent="0.25">
      <c r="B56" s="213"/>
      <c r="C56" s="216"/>
      <c r="D56" s="168" t="s">
        <v>147</v>
      </c>
      <c r="E56" s="100">
        <v>3.3</v>
      </c>
      <c r="F56" s="159">
        <f>E56*C45/1000</f>
        <v>0.41249999999999998</v>
      </c>
      <c r="G56" s="100">
        <v>10</v>
      </c>
      <c r="H56" s="129">
        <v>1365</v>
      </c>
      <c r="K56" s="210"/>
      <c r="L56" s="16"/>
      <c r="M56" s="209"/>
      <c r="N56" s="25"/>
      <c r="O56" s="25"/>
      <c r="P56" s="25"/>
      <c r="Q56" s="25"/>
    </row>
    <row r="57" spans="2:17" ht="17.25" customHeight="1" x14ac:dyDescent="0.25">
      <c r="B57" s="213"/>
      <c r="C57" s="216"/>
      <c r="D57" s="168" t="s">
        <v>148</v>
      </c>
      <c r="E57" s="100">
        <v>334</v>
      </c>
      <c r="F57" s="159">
        <f>E57*C45/1000</f>
        <v>41.75</v>
      </c>
      <c r="G57" s="100">
        <v>18</v>
      </c>
      <c r="H57" s="129">
        <f t="shared" ref="H57" si="6">G57*F57</f>
        <v>751.5</v>
      </c>
      <c r="K57" s="210"/>
      <c r="L57" s="16"/>
      <c r="M57" s="209"/>
      <c r="N57" s="25"/>
      <c r="O57" s="25"/>
      <c r="P57" s="25"/>
      <c r="Q57" s="25"/>
    </row>
    <row r="58" spans="2:17" ht="20.25" customHeight="1" thickBot="1" x14ac:dyDescent="0.25">
      <c r="B58" s="214"/>
      <c r="C58" s="217"/>
      <c r="D58" s="127"/>
      <c r="E58" s="128" t="s">
        <v>14</v>
      </c>
      <c r="F58" s="128">
        <f>H58/C45</f>
        <v>95.704999999999998</v>
      </c>
      <c r="G58" s="128" t="s">
        <v>59</v>
      </c>
      <c r="H58" s="128">
        <f>SUM(H45:H57)</f>
        <v>11963.125</v>
      </c>
      <c r="K58" s="210"/>
      <c r="L58" s="16"/>
      <c r="M58" s="209"/>
      <c r="N58" s="25"/>
      <c r="O58" s="25"/>
      <c r="P58" s="25"/>
      <c r="Q58" s="26"/>
    </row>
    <row r="59" spans="2:17" ht="13.5" customHeight="1" thickBot="1" x14ac:dyDescent="0.25">
      <c r="B59" s="218" t="str">
        <f>B10</f>
        <v>Зефир «Сливочный»</v>
      </c>
      <c r="C59" s="219">
        <f>E10</f>
        <v>350</v>
      </c>
      <c r="D59" s="179" t="s">
        <v>149</v>
      </c>
      <c r="E59" s="181">
        <v>625.4</v>
      </c>
      <c r="F59" s="100">
        <f>E59*C59/1000</f>
        <v>218.89</v>
      </c>
      <c r="G59" s="100">
        <v>45</v>
      </c>
      <c r="H59" s="100">
        <f>G59*F59</f>
        <v>9850.0499999999993</v>
      </c>
      <c r="K59" s="210"/>
      <c r="L59" s="16"/>
      <c r="M59" s="209"/>
      <c r="N59" s="27"/>
      <c r="O59" s="25"/>
      <c r="P59" s="25"/>
      <c r="Q59" s="26"/>
    </row>
    <row r="60" spans="2:17" ht="16.5" thickBot="1" x14ac:dyDescent="0.3">
      <c r="B60" s="218"/>
      <c r="C60" s="219"/>
      <c r="D60" s="180" t="s">
        <v>98</v>
      </c>
      <c r="E60" s="165">
        <v>135.1</v>
      </c>
      <c r="F60" s="100">
        <f>E60*C59/1000</f>
        <v>47.284999999999997</v>
      </c>
      <c r="G60" s="100">
        <v>45</v>
      </c>
      <c r="H60" s="100">
        <f t="shared" ref="H60:H71" si="7">G60*F60</f>
        <v>2127.8249999999998</v>
      </c>
      <c r="Q60" s="31"/>
    </row>
    <row r="61" spans="2:17" ht="13.5" customHeight="1" thickBot="1" x14ac:dyDescent="0.25">
      <c r="B61" s="218"/>
      <c r="C61" s="219"/>
      <c r="D61" s="180" t="s">
        <v>145</v>
      </c>
      <c r="E61" s="165">
        <v>345</v>
      </c>
      <c r="F61" s="100">
        <f>E61*C59/1000</f>
        <v>120.75</v>
      </c>
      <c r="G61" s="100">
        <v>45</v>
      </c>
      <c r="H61" s="100">
        <f t="shared" si="7"/>
        <v>5433.75</v>
      </c>
    </row>
    <row r="62" spans="2:17" ht="15" customHeight="1" thickBot="1" x14ac:dyDescent="0.25">
      <c r="B62" s="218"/>
      <c r="C62" s="219"/>
      <c r="D62" s="179" t="s">
        <v>162</v>
      </c>
      <c r="E62" s="161">
        <v>62.5</v>
      </c>
      <c r="F62" s="100">
        <f>E62*C59/1000</f>
        <v>21.875</v>
      </c>
      <c r="G62" s="100">
        <v>50</v>
      </c>
      <c r="H62" s="100">
        <f t="shared" si="7"/>
        <v>1093.75</v>
      </c>
    </row>
    <row r="63" spans="2:17" ht="13.5" customHeight="1" thickBot="1" x14ac:dyDescent="0.25">
      <c r="B63" s="218"/>
      <c r="C63" s="219"/>
      <c r="D63" s="179" t="s">
        <v>164</v>
      </c>
      <c r="E63" s="181">
        <v>8.4</v>
      </c>
      <c r="F63" s="100">
        <f>E63*C59/1000</f>
        <v>2.94</v>
      </c>
      <c r="G63" s="100">
        <v>450</v>
      </c>
      <c r="H63" s="100">
        <f t="shared" si="7"/>
        <v>1323</v>
      </c>
    </row>
    <row r="64" spans="2:17" ht="17.25" customHeight="1" thickBot="1" x14ac:dyDescent="0.25">
      <c r="B64" s="218"/>
      <c r="C64" s="219"/>
      <c r="D64" s="180" t="s">
        <v>143</v>
      </c>
      <c r="E64" s="165">
        <v>2.7</v>
      </c>
      <c r="F64" s="100">
        <f>E64*C59/1000</f>
        <v>0.94500000000000006</v>
      </c>
      <c r="G64" s="100">
        <v>100</v>
      </c>
      <c r="H64" s="100">
        <f t="shared" si="7"/>
        <v>94.5</v>
      </c>
    </row>
    <row r="65" spans="2:8" ht="17.25" customHeight="1" thickBot="1" x14ac:dyDescent="0.25">
      <c r="B65" s="218"/>
      <c r="C65" s="219"/>
      <c r="D65" s="156" t="s">
        <v>144</v>
      </c>
      <c r="E65" s="170">
        <v>2</v>
      </c>
      <c r="F65" s="100">
        <f>E65*C59/1000</f>
        <v>0.7</v>
      </c>
      <c r="G65" s="100">
        <v>250</v>
      </c>
      <c r="H65" s="100">
        <f t="shared" si="7"/>
        <v>175</v>
      </c>
    </row>
    <row r="66" spans="2:8" ht="17.25" customHeight="1" thickBot="1" x14ac:dyDescent="0.25">
      <c r="B66" s="218"/>
      <c r="C66" s="219"/>
      <c r="D66" s="179" t="s">
        <v>170</v>
      </c>
      <c r="E66" s="181">
        <v>20.5</v>
      </c>
      <c r="F66" s="100">
        <f>E66*C59/1000</f>
        <v>7.1749999999999998</v>
      </c>
      <c r="G66" s="100">
        <v>150</v>
      </c>
      <c r="H66" s="100">
        <f t="shared" si="7"/>
        <v>1076.25</v>
      </c>
    </row>
    <row r="67" spans="2:8" ht="16.5" customHeight="1" thickBot="1" x14ac:dyDescent="0.25">
      <c r="B67" s="218"/>
      <c r="C67" s="219"/>
      <c r="D67" s="180" t="s">
        <v>171</v>
      </c>
      <c r="E67" s="165">
        <v>20.399999999999999</v>
      </c>
      <c r="F67" s="100">
        <f>E67*C59/1000</f>
        <v>7.1399999999999988</v>
      </c>
      <c r="G67" s="100">
        <v>120</v>
      </c>
      <c r="H67" s="100">
        <f t="shared" si="7"/>
        <v>856.79999999999984</v>
      </c>
    </row>
    <row r="68" spans="2:8" ht="15" customHeight="1" thickBot="1" x14ac:dyDescent="0.25">
      <c r="B68" s="218"/>
      <c r="C68" s="219"/>
      <c r="D68" s="180" t="s">
        <v>172</v>
      </c>
      <c r="E68" s="165">
        <v>45.5</v>
      </c>
      <c r="F68" s="100">
        <f>E68*C59/1000</f>
        <v>15.925000000000001</v>
      </c>
      <c r="G68" s="100">
        <v>50</v>
      </c>
      <c r="H68" s="100">
        <f t="shared" si="7"/>
        <v>796.25</v>
      </c>
    </row>
    <row r="69" spans="2:8" ht="15" customHeight="1" x14ac:dyDescent="0.25">
      <c r="B69" s="218"/>
      <c r="C69" s="219"/>
      <c r="D69" s="168" t="s">
        <v>147</v>
      </c>
      <c r="E69" s="100">
        <v>1.2</v>
      </c>
      <c r="F69" s="100">
        <f>E69*C59/1000</f>
        <v>0.42</v>
      </c>
      <c r="G69" s="53">
        <v>10</v>
      </c>
      <c r="H69" s="100">
        <f t="shared" si="7"/>
        <v>4.2</v>
      </c>
    </row>
    <row r="70" spans="2:8" ht="15" customHeight="1" x14ac:dyDescent="0.2">
      <c r="B70" s="218"/>
      <c r="C70" s="219"/>
      <c r="D70" s="157" t="s">
        <v>165</v>
      </c>
      <c r="E70" s="100">
        <v>30</v>
      </c>
      <c r="F70" s="100">
        <f>E70*C59/1000</f>
        <v>10.5</v>
      </c>
      <c r="G70" s="53">
        <v>15</v>
      </c>
      <c r="H70" s="100">
        <f t="shared" si="7"/>
        <v>157.5</v>
      </c>
    </row>
    <row r="71" spans="2:8" ht="15" customHeight="1" x14ac:dyDescent="0.2">
      <c r="B71" s="218"/>
      <c r="C71" s="219"/>
      <c r="D71" s="127" t="s">
        <v>148</v>
      </c>
      <c r="E71" s="161">
        <v>74</v>
      </c>
      <c r="F71" s="100">
        <f>E71*C59/1000</f>
        <v>25.9</v>
      </c>
      <c r="G71" s="53">
        <v>20</v>
      </c>
      <c r="H71" s="100">
        <f t="shared" si="7"/>
        <v>518</v>
      </c>
    </row>
    <row r="72" spans="2:8" ht="17.25" customHeight="1" x14ac:dyDescent="0.2">
      <c r="B72" s="218"/>
      <c r="C72" s="219"/>
      <c r="D72" s="127"/>
      <c r="E72" s="100"/>
      <c r="F72" s="100"/>
      <c r="G72" s="100"/>
      <c r="H72" s="100"/>
    </row>
    <row r="73" spans="2:8" ht="20.25" customHeight="1" thickBot="1" x14ac:dyDescent="0.25">
      <c r="B73" s="218"/>
      <c r="C73" s="219"/>
      <c r="D73" s="127"/>
      <c r="E73" s="128" t="s">
        <v>14</v>
      </c>
      <c r="F73" s="128">
        <f>H73/C59</f>
        <v>67.162499999999994</v>
      </c>
      <c r="G73" s="128" t="s">
        <v>59</v>
      </c>
      <c r="H73" s="128">
        <f>SUM(H59:H72)</f>
        <v>23506.875</v>
      </c>
    </row>
    <row r="74" spans="2:8" ht="18.75" customHeight="1" thickBot="1" x14ac:dyDescent="0.25">
      <c r="B74" s="218" t="str">
        <f>B11</f>
        <v>Зефир «Киевский»</v>
      </c>
      <c r="C74" s="219">
        <f>E11</f>
        <v>350</v>
      </c>
      <c r="D74" s="179" t="s">
        <v>149</v>
      </c>
      <c r="E74" s="181">
        <v>539.79999999999995</v>
      </c>
      <c r="F74" s="100">
        <f>E74*C74/1000</f>
        <v>188.92999999999998</v>
      </c>
      <c r="G74" s="100">
        <v>45</v>
      </c>
      <c r="H74" s="100">
        <f>G74*F74</f>
        <v>8501.8499999999985</v>
      </c>
    </row>
    <row r="75" spans="2:8" ht="13.5" customHeight="1" thickBot="1" x14ac:dyDescent="0.25">
      <c r="B75" s="218"/>
      <c r="C75" s="219"/>
      <c r="D75" s="180" t="s">
        <v>98</v>
      </c>
      <c r="E75" s="165">
        <v>111.8</v>
      </c>
      <c r="F75" s="100">
        <f>E75*C74/1000</f>
        <v>39.130000000000003</v>
      </c>
      <c r="G75" s="100">
        <v>45</v>
      </c>
      <c r="H75" s="100">
        <f t="shared" ref="H75:H85" si="8">G75*F75</f>
        <v>1760.8500000000001</v>
      </c>
    </row>
    <row r="76" spans="2:8" ht="12.75" customHeight="1" thickBot="1" x14ac:dyDescent="0.25">
      <c r="B76" s="218"/>
      <c r="C76" s="219"/>
      <c r="D76" s="180" t="s">
        <v>145</v>
      </c>
      <c r="E76" s="165">
        <v>313</v>
      </c>
      <c r="F76" s="100">
        <f>E76*C74/1000</f>
        <v>109.55</v>
      </c>
      <c r="G76" s="100">
        <v>45</v>
      </c>
      <c r="H76" s="100">
        <f t="shared" si="8"/>
        <v>4929.75</v>
      </c>
    </row>
    <row r="77" spans="2:8" ht="15" customHeight="1" thickBot="1" x14ac:dyDescent="0.25">
      <c r="B77" s="218"/>
      <c r="C77" s="219"/>
      <c r="D77" s="179" t="s">
        <v>162</v>
      </c>
      <c r="E77" s="181">
        <v>52.5</v>
      </c>
      <c r="F77" s="100">
        <f>E77*C74/1000</f>
        <v>18.375</v>
      </c>
      <c r="G77" s="100">
        <v>50</v>
      </c>
      <c r="H77" s="100">
        <f t="shared" si="8"/>
        <v>918.75</v>
      </c>
    </row>
    <row r="78" spans="2:8" ht="13.5" customHeight="1" thickBot="1" x14ac:dyDescent="0.25">
      <c r="B78" s="218"/>
      <c r="C78" s="219"/>
      <c r="D78" s="180" t="s">
        <v>163</v>
      </c>
      <c r="E78" s="165">
        <v>5.5</v>
      </c>
      <c r="F78" s="100">
        <f>E78*C74/1000</f>
        <v>1.925</v>
      </c>
      <c r="G78" s="100">
        <v>120</v>
      </c>
      <c r="H78" s="100">
        <f t="shared" si="8"/>
        <v>231</v>
      </c>
    </row>
    <row r="79" spans="2:8" ht="14.25" customHeight="1" thickBot="1" x14ac:dyDescent="0.25">
      <c r="B79" s="218"/>
      <c r="C79" s="219"/>
      <c r="D79" s="180" t="s">
        <v>164</v>
      </c>
      <c r="E79" s="165">
        <v>6.8</v>
      </c>
      <c r="F79" s="100">
        <f>E79*C74/1000</f>
        <v>2.38</v>
      </c>
      <c r="G79" s="100">
        <v>450</v>
      </c>
      <c r="H79" s="100">
        <f t="shared" si="8"/>
        <v>1071</v>
      </c>
    </row>
    <row r="80" spans="2:8" ht="13.5" customHeight="1" thickBot="1" x14ac:dyDescent="0.25">
      <c r="B80" s="218"/>
      <c r="C80" s="219"/>
      <c r="D80" s="179" t="s">
        <v>144</v>
      </c>
      <c r="E80" s="181">
        <v>0.8</v>
      </c>
      <c r="F80" s="100">
        <f>E80*C74/1000</f>
        <v>0.28000000000000003</v>
      </c>
      <c r="G80" s="100">
        <v>250</v>
      </c>
      <c r="H80" s="100">
        <f t="shared" si="8"/>
        <v>70</v>
      </c>
    </row>
    <row r="81" spans="2:8" ht="13.5" customHeight="1" thickBot="1" x14ac:dyDescent="0.25">
      <c r="B81" s="218"/>
      <c r="C81" s="219"/>
      <c r="D81" s="180" t="s">
        <v>169</v>
      </c>
      <c r="E81" s="165">
        <v>1</v>
      </c>
      <c r="F81" s="100">
        <f>E81*C74/1000</f>
        <v>0.35</v>
      </c>
      <c r="G81" s="100">
        <v>300</v>
      </c>
      <c r="H81" s="100">
        <f t="shared" si="8"/>
        <v>105</v>
      </c>
    </row>
    <row r="82" spans="2:8" ht="13.5" customHeight="1" x14ac:dyDescent="0.2">
      <c r="B82" s="218"/>
      <c r="C82" s="220"/>
      <c r="D82" s="156" t="s">
        <v>173</v>
      </c>
      <c r="E82" s="161">
        <v>204.3</v>
      </c>
      <c r="F82" s="100">
        <f>E82*C74/1000</f>
        <v>71.504999999999995</v>
      </c>
      <c r="G82" s="100">
        <v>200</v>
      </c>
      <c r="H82" s="100">
        <f t="shared" si="8"/>
        <v>14301</v>
      </c>
    </row>
    <row r="83" spans="2:8" ht="15" customHeight="1" x14ac:dyDescent="0.25">
      <c r="B83" s="218"/>
      <c r="C83" s="219"/>
      <c r="D83" s="168" t="s">
        <v>147</v>
      </c>
      <c r="E83" s="100">
        <v>1.2</v>
      </c>
      <c r="F83" s="100">
        <f>E83*C74/1000</f>
        <v>0.42</v>
      </c>
      <c r="G83" s="53">
        <v>10</v>
      </c>
      <c r="H83" s="100">
        <f t="shared" si="8"/>
        <v>4.2</v>
      </c>
    </row>
    <row r="84" spans="2:8" ht="15" customHeight="1" x14ac:dyDescent="0.2">
      <c r="B84" s="218"/>
      <c r="C84" s="219"/>
      <c r="D84" s="157" t="s">
        <v>165</v>
      </c>
      <c r="E84" s="100">
        <v>30</v>
      </c>
      <c r="F84" s="100">
        <f>E84*C74/1000</f>
        <v>10.5</v>
      </c>
      <c r="G84" s="53">
        <v>15</v>
      </c>
      <c r="H84" s="100">
        <f t="shared" si="8"/>
        <v>157.5</v>
      </c>
    </row>
    <row r="85" spans="2:8" ht="15" customHeight="1" x14ac:dyDescent="0.2">
      <c r="B85" s="218"/>
      <c r="C85" s="219"/>
      <c r="D85" s="127" t="s">
        <v>148</v>
      </c>
      <c r="E85" s="167">
        <v>74</v>
      </c>
      <c r="F85" s="100">
        <f>E85*C74/1000</f>
        <v>25.9</v>
      </c>
      <c r="G85" s="53">
        <v>20</v>
      </c>
      <c r="H85" s="100">
        <f t="shared" si="8"/>
        <v>518</v>
      </c>
    </row>
    <row r="86" spans="2:8" ht="15" customHeight="1" thickBot="1" x14ac:dyDescent="0.25">
      <c r="B86" s="218"/>
      <c r="C86" s="219"/>
      <c r="D86" s="127"/>
      <c r="E86" s="128" t="s">
        <v>14</v>
      </c>
      <c r="F86" s="128">
        <f>H86/C74</f>
        <v>93.053999999999988</v>
      </c>
      <c r="G86" s="128" t="s">
        <v>59</v>
      </c>
      <c r="H86" s="128">
        <f>SUM(H74:H85)</f>
        <v>32568.899999999998</v>
      </c>
    </row>
    <row r="87" spans="2:8" ht="15" customHeight="1" thickBot="1" x14ac:dyDescent="0.25">
      <c r="B87" s="212" t="str">
        <f>B12</f>
        <v>Зефир «Десертный»</v>
      </c>
      <c r="C87" s="215">
        <f>E12</f>
        <v>350</v>
      </c>
      <c r="D87" s="179" t="s">
        <v>149</v>
      </c>
      <c r="E87" s="181">
        <v>412.2</v>
      </c>
      <c r="F87" s="100">
        <f>E87*C87/1000</f>
        <v>144.27000000000001</v>
      </c>
      <c r="G87" s="100">
        <v>45</v>
      </c>
      <c r="H87" s="100">
        <f>G87*F87</f>
        <v>6492.1500000000005</v>
      </c>
    </row>
    <row r="88" spans="2:8" ht="15" customHeight="1" thickBot="1" x14ac:dyDescent="0.25">
      <c r="B88" s="213"/>
      <c r="C88" s="216"/>
      <c r="D88" s="180" t="s">
        <v>98</v>
      </c>
      <c r="E88" s="165">
        <v>94.2</v>
      </c>
      <c r="F88" s="100">
        <f>E88*C87/1000</f>
        <v>32.97</v>
      </c>
      <c r="G88" s="100">
        <v>45</v>
      </c>
      <c r="H88" s="100">
        <f t="shared" ref="H88:H94" si="9">G88*F88</f>
        <v>1483.6499999999999</v>
      </c>
    </row>
    <row r="89" spans="2:8" ht="15" customHeight="1" thickBot="1" x14ac:dyDescent="0.25">
      <c r="B89" s="213"/>
      <c r="C89" s="216"/>
      <c r="D89" s="180" t="s">
        <v>145</v>
      </c>
      <c r="E89" s="165">
        <v>234</v>
      </c>
      <c r="F89" s="100">
        <f>E89*C87/1000</f>
        <v>81.900000000000006</v>
      </c>
      <c r="G89" s="100">
        <v>45</v>
      </c>
      <c r="H89" s="100">
        <f t="shared" si="9"/>
        <v>3685.5000000000005</v>
      </c>
    </row>
    <row r="90" spans="2:8" ht="15" customHeight="1" thickBot="1" x14ac:dyDescent="0.25">
      <c r="B90" s="213"/>
      <c r="C90" s="216"/>
      <c r="D90" s="179" t="s">
        <v>162</v>
      </c>
      <c r="E90" s="186">
        <v>46.7</v>
      </c>
      <c r="F90" s="100">
        <f>E90*C87/1000</f>
        <v>16.345000000000002</v>
      </c>
      <c r="G90" s="100">
        <v>50</v>
      </c>
      <c r="H90" s="100">
        <f t="shared" si="9"/>
        <v>817.25000000000011</v>
      </c>
    </row>
    <row r="91" spans="2:8" ht="15" customHeight="1" thickBot="1" x14ac:dyDescent="0.25">
      <c r="B91" s="213"/>
      <c r="C91" s="216"/>
      <c r="D91" s="180" t="s">
        <v>164</v>
      </c>
      <c r="E91" s="186">
        <v>5.3</v>
      </c>
      <c r="F91" s="100">
        <f>E91*C87/1000</f>
        <v>1.855</v>
      </c>
      <c r="G91" s="100">
        <v>450</v>
      </c>
      <c r="H91" s="100">
        <f t="shared" si="9"/>
        <v>834.75</v>
      </c>
    </row>
    <row r="92" spans="2:8" ht="15" customHeight="1" thickBot="1" x14ac:dyDescent="0.25">
      <c r="B92" s="213"/>
      <c r="C92" s="216"/>
      <c r="D92" s="187" t="s">
        <v>144</v>
      </c>
      <c r="E92" s="186">
        <v>1.4</v>
      </c>
      <c r="F92" s="100">
        <f>E92*C87/1000</f>
        <v>0.48999999999999994</v>
      </c>
      <c r="G92" s="100">
        <v>250</v>
      </c>
      <c r="H92" s="100">
        <f t="shared" si="9"/>
        <v>122.49999999999999</v>
      </c>
    </row>
    <row r="93" spans="2:8" ht="15" customHeight="1" thickBot="1" x14ac:dyDescent="0.25">
      <c r="B93" s="213"/>
      <c r="C93" s="216"/>
      <c r="D93" s="157" t="s">
        <v>151</v>
      </c>
      <c r="E93" s="186">
        <v>306.89999999999998</v>
      </c>
      <c r="F93" s="100">
        <f>E93*C87/1000</f>
        <v>107.41499999999999</v>
      </c>
      <c r="G93" s="100">
        <v>150</v>
      </c>
      <c r="H93" s="100">
        <f t="shared" si="9"/>
        <v>16112.249999999998</v>
      </c>
    </row>
    <row r="94" spans="2:8" ht="12.75" customHeight="1" thickBot="1" x14ac:dyDescent="0.25">
      <c r="B94" s="213"/>
      <c r="C94" s="216"/>
      <c r="D94" s="157" t="s">
        <v>174</v>
      </c>
      <c r="E94" s="186">
        <v>90.8</v>
      </c>
      <c r="F94" s="100">
        <f>E94*C87/1000</f>
        <v>31.78</v>
      </c>
      <c r="G94" s="100">
        <v>200</v>
      </c>
      <c r="H94" s="100">
        <f t="shared" si="9"/>
        <v>6356</v>
      </c>
    </row>
    <row r="95" spans="2:8" ht="12.75" customHeight="1" x14ac:dyDescent="0.25">
      <c r="B95" s="213"/>
      <c r="C95" s="216"/>
      <c r="D95" s="168" t="s">
        <v>147</v>
      </c>
      <c r="E95" s="100">
        <v>1.2</v>
      </c>
      <c r="F95" s="100">
        <f>E95*C87/1000</f>
        <v>0.42</v>
      </c>
      <c r="G95" s="53">
        <v>10</v>
      </c>
      <c r="H95" s="100">
        <v>550</v>
      </c>
    </row>
    <row r="96" spans="2:8" ht="12.75" customHeight="1" x14ac:dyDescent="0.2">
      <c r="B96" s="213"/>
      <c r="C96" s="216"/>
      <c r="D96" s="157" t="s">
        <v>165</v>
      </c>
      <c r="E96" s="100">
        <v>30</v>
      </c>
      <c r="F96" s="100">
        <f>E96*C87/1000</f>
        <v>10.5</v>
      </c>
      <c r="G96" s="53">
        <v>15</v>
      </c>
      <c r="H96" s="100">
        <v>735</v>
      </c>
    </row>
    <row r="97" spans="2:8" ht="12.75" customHeight="1" x14ac:dyDescent="0.2">
      <c r="B97" s="213"/>
      <c r="C97" s="216"/>
      <c r="D97" s="127" t="s">
        <v>148</v>
      </c>
      <c r="E97" s="161">
        <v>74</v>
      </c>
      <c r="F97" s="100">
        <f>E97*C87/1000</f>
        <v>25.9</v>
      </c>
      <c r="G97" s="53">
        <v>20</v>
      </c>
      <c r="H97" s="100">
        <v>250</v>
      </c>
    </row>
    <row r="98" spans="2:8" ht="18.75" customHeight="1" thickBot="1" x14ac:dyDescent="0.25">
      <c r="B98" s="214"/>
      <c r="C98" s="217"/>
      <c r="D98" s="127"/>
      <c r="E98" s="128" t="s">
        <v>14</v>
      </c>
      <c r="F98" s="128">
        <f>H98/C87</f>
        <v>106.9687142857143</v>
      </c>
      <c r="G98" s="128" t="s">
        <v>59</v>
      </c>
      <c r="H98" s="128">
        <f>SUM(H87:H97)</f>
        <v>37439.050000000003</v>
      </c>
    </row>
    <row r="99" spans="2:8" ht="12.75" customHeight="1" thickBot="1" x14ac:dyDescent="0.25">
      <c r="B99" s="218" t="str">
        <f>B13</f>
        <v>Зефир «В шоколаде»</v>
      </c>
      <c r="C99" s="219">
        <f>E13</f>
        <v>350</v>
      </c>
      <c r="D99" s="179" t="s">
        <v>149</v>
      </c>
      <c r="E99" s="181">
        <v>443.3</v>
      </c>
      <c r="F99" s="100">
        <f>E99*C99/1000</f>
        <v>155.155</v>
      </c>
      <c r="G99" s="100">
        <v>45</v>
      </c>
      <c r="H99" s="100">
        <f>G99*F99</f>
        <v>6981.9750000000004</v>
      </c>
    </row>
    <row r="100" spans="2:8" ht="13.5" thickBot="1" x14ac:dyDescent="0.25">
      <c r="B100" s="218"/>
      <c r="C100" s="219"/>
      <c r="D100" s="180" t="s">
        <v>98</v>
      </c>
      <c r="E100" s="165">
        <v>91.8</v>
      </c>
      <c r="F100" s="100">
        <f>E100*C99/1000</f>
        <v>32.130000000000003</v>
      </c>
      <c r="G100" s="100">
        <v>45</v>
      </c>
      <c r="H100" s="100">
        <f t="shared" ref="H100:H109" si="10">G100*F100</f>
        <v>1445.8500000000001</v>
      </c>
    </row>
    <row r="101" spans="2:8" ht="12.75" customHeight="1" thickBot="1" x14ac:dyDescent="0.25">
      <c r="B101" s="218"/>
      <c r="C101" s="219"/>
      <c r="D101" s="180" t="s">
        <v>145</v>
      </c>
      <c r="E101" s="165">
        <v>257</v>
      </c>
      <c r="F101" s="100">
        <f>E101*C99/1000</f>
        <v>89.95</v>
      </c>
      <c r="G101" s="100">
        <v>45</v>
      </c>
      <c r="H101" s="100">
        <f t="shared" si="10"/>
        <v>4047.75</v>
      </c>
    </row>
    <row r="102" spans="2:8" ht="12" customHeight="1" thickBot="1" x14ac:dyDescent="0.25">
      <c r="B102" s="218"/>
      <c r="C102" s="220"/>
      <c r="D102" s="179" t="s">
        <v>162</v>
      </c>
      <c r="E102" s="165">
        <v>42.5</v>
      </c>
      <c r="F102" s="100">
        <f>E102*C99/1000</f>
        <v>14.875</v>
      </c>
      <c r="G102" s="100">
        <v>50</v>
      </c>
      <c r="H102" s="100">
        <f t="shared" si="10"/>
        <v>743.75</v>
      </c>
    </row>
    <row r="103" spans="2:8" ht="13.5" customHeight="1" thickBot="1" x14ac:dyDescent="0.25">
      <c r="B103" s="218"/>
      <c r="C103" s="220"/>
      <c r="D103" s="180" t="s">
        <v>163</v>
      </c>
      <c r="E103" s="165">
        <v>4.5</v>
      </c>
      <c r="F103" s="100">
        <f>E103*C99/1000</f>
        <v>1.575</v>
      </c>
      <c r="G103" s="100">
        <v>120</v>
      </c>
      <c r="H103" s="100">
        <f t="shared" si="10"/>
        <v>189</v>
      </c>
    </row>
    <row r="104" spans="2:8" ht="11.25" customHeight="1" thickBot="1" x14ac:dyDescent="0.25">
      <c r="B104" s="218"/>
      <c r="C104" s="220"/>
      <c r="D104" s="180" t="s">
        <v>164</v>
      </c>
      <c r="E104" s="165">
        <v>5.6</v>
      </c>
      <c r="F104" s="100">
        <f>E104*C99/1000</f>
        <v>1.9599999999999997</v>
      </c>
      <c r="G104" s="100">
        <v>450</v>
      </c>
      <c r="H104" s="100">
        <f t="shared" si="10"/>
        <v>881.99999999999989</v>
      </c>
    </row>
    <row r="105" spans="2:8" ht="11.25" customHeight="1" thickBot="1" x14ac:dyDescent="0.25">
      <c r="B105" s="218"/>
      <c r="C105" s="220"/>
      <c r="D105" s="187" t="s">
        <v>144</v>
      </c>
      <c r="E105" s="165">
        <v>1.3</v>
      </c>
      <c r="F105" s="100">
        <f>E105*C99/1000</f>
        <v>0.45500000000000002</v>
      </c>
      <c r="G105" s="100">
        <v>250</v>
      </c>
      <c r="H105" s="100">
        <f t="shared" si="10"/>
        <v>113.75</v>
      </c>
    </row>
    <row r="106" spans="2:8" ht="11.25" customHeight="1" thickBot="1" x14ac:dyDescent="0.25">
      <c r="B106" s="218"/>
      <c r="C106" s="219"/>
      <c r="D106" s="157" t="s">
        <v>151</v>
      </c>
      <c r="E106" s="165">
        <v>358.3</v>
      </c>
      <c r="F106" s="100">
        <f>E106*C99/1000</f>
        <v>125.405</v>
      </c>
      <c r="G106" s="100">
        <v>150</v>
      </c>
      <c r="H106" s="100">
        <f t="shared" si="10"/>
        <v>18810.75</v>
      </c>
    </row>
    <row r="107" spans="2:8" ht="11.25" customHeight="1" thickBot="1" x14ac:dyDescent="0.25">
      <c r="B107" s="218"/>
      <c r="C107" s="219"/>
      <c r="D107" s="156" t="s">
        <v>166</v>
      </c>
      <c r="E107" s="171">
        <v>10</v>
      </c>
      <c r="F107" s="100">
        <f>E107*C99/1000</f>
        <v>3.5</v>
      </c>
      <c r="G107" s="100">
        <v>20</v>
      </c>
      <c r="H107" s="100">
        <f t="shared" si="10"/>
        <v>70</v>
      </c>
    </row>
    <row r="108" spans="2:8" ht="11.25" customHeight="1" x14ac:dyDescent="0.25">
      <c r="B108" s="218"/>
      <c r="C108" s="219"/>
      <c r="D108" s="168" t="s">
        <v>147</v>
      </c>
      <c r="E108" s="100">
        <v>3.3</v>
      </c>
      <c r="F108" s="100">
        <f>E108*C99/1000</f>
        <v>1.155</v>
      </c>
      <c r="G108" s="100">
        <v>10</v>
      </c>
      <c r="H108" s="100">
        <f t="shared" si="10"/>
        <v>11.55</v>
      </c>
    </row>
    <row r="109" spans="2:8" ht="11.25" customHeight="1" x14ac:dyDescent="0.25">
      <c r="B109" s="218"/>
      <c r="C109" s="219"/>
      <c r="D109" s="168" t="s">
        <v>148</v>
      </c>
      <c r="E109" s="100">
        <v>334</v>
      </c>
      <c r="F109" s="100">
        <f>E109*C99/1000</f>
        <v>116.9</v>
      </c>
      <c r="G109" s="100">
        <v>18</v>
      </c>
      <c r="H109" s="100">
        <f t="shared" si="10"/>
        <v>2104.2000000000003</v>
      </c>
    </row>
    <row r="110" spans="2:8" ht="20.25" customHeight="1" thickBot="1" x14ac:dyDescent="0.25">
      <c r="B110" s="218"/>
      <c r="C110" s="219"/>
      <c r="D110" s="127"/>
      <c r="E110" s="128" t="s">
        <v>14</v>
      </c>
      <c r="F110" s="128">
        <f>H110/C99</f>
        <v>101.14449999999999</v>
      </c>
      <c r="G110" s="128" t="s">
        <v>59</v>
      </c>
      <c r="H110" s="128">
        <f>SUM(H99:H109)</f>
        <v>35400.574999999997</v>
      </c>
    </row>
    <row r="111" spans="2:8" ht="16.5" customHeight="1" thickBot="1" x14ac:dyDescent="0.25">
      <c r="B111" s="218" t="str">
        <f>B14</f>
        <v>Зефир «Яблочный»</v>
      </c>
      <c r="C111" s="219">
        <f>E14</f>
        <v>350</v>
      </c>
      <c r="D111" s="179" t="s">
        <v>149</v>
      </c>
      <c r="E111" s="181">
        <v>671.5</v>
      </c>
      <c r="F111" s="159">
        <f>E111*C111/1000</f>
        <v>235.02500000000001</v>
      </c>
      <c r="G111" s="100">
        <v>45</v>
      </c>
      <c r="H111" s="100">
        <f>F111*G111</f>
        <v>10576.125</v>
      </c>
    </row>
    <row r="112" spans="2:8" ht="13.5" thickBot="1" x14ac:dyDescent="0.25">
      <c r="B112" s="218"/>
      <c r="C112" s="219"/>
      <c r="D112" s="180" t="s">
        <v>98</v>
      </c>
      <c r="E112" s="165">
        <v>139.4</v>
      </c>
      <c r="F112" s="159">
        <f>E112*C111/1000</f>
        <v>48.79</v>
      </c>
      <c r="G112" s="100">
        <v>45</v>
      </c>
      <c r="H112" s="100">
        <f t="shared" ref="H112:H120" si="11">F112*G112</f>
        <v>2195.5500000000002</v>
      </c>
    </row>
    <row r="113" spans="2:8" ht="12.75" customHeight="1" thickBot="1" x14ac:dyDescent="0.25">
      <c r="B113" s="218"/>
      <c r="C113" s="219"/>
      <c r="D113" s="180" t="s">
        <v>145</v>
      </c>
      <c r="E113" s="165">
        <v>389</v>
      </c>
      <c r="F113" s="159">
        <f>E113*C111/1000</f>
        <v>136.15</v>
      </c>
      <c r="G113" s="100">
        <v>45</v>
      </c>
      <c r="H113" s="100">
        <f t="shared" si="11"/>
        <v>6126.75</v>
      </c>
    </row>
    <row r="114" spans="2:8" ht="15" customHeight="1" thickBot="1" x14ac:dyDescent="0.25">
      <c r="B114" s="218"/>
      <c r="C114" s="219"/>
      <c r="D114" s="179" t="s">
        <v>162</v>
      </c>
      <c r="E114" s="165">
        <v>65</v>
      </c>
      <c r="F114" s="162">
        <f>E114*C111/1000</f>
        <v>22.75</v>
      </c>
      <c r="G114" s="100">
        <v>50</v>
      </c>
      <c r="H114" s="100">
        <f t="shared" si="11"/>
        <v>1137.5</v>
      </c>
    </row>
    <row r="115" spans="2:8" ht="18" customHeight="1" thickBot="1" x14ac:dyDescent="0.25">
      <c r="B115" s="218"/>
      <c r="C115" s="219"/>
      <c r="D115" s="180" t="s">
        <v>163</v>
      </c>
      <c r="E115" s="165">
        <v>6.7</v>
      </c>
      <c r="F115" s="162">
        <f>E115*C111/1000</f>
        <v>2.3450000000000002</v>
      </c>
      <c r="G115" s="100">
        <v>120</v>
      </c>
      <c r="H115" s="100">
        <f t="shared" si="11"/>
        <v>281.40000000000003</v>
      </c>
    </row>
    <row r="116" spans="2:8" ht="18.75" customHeight="1" thickBot="1" x14ac:dyDescent="0.25">
      <c r="B116" s="218"/>
      <c r="C116" s="219"/>
      <c r="D116" s="180" t="s">
        <v>164</v>
      </c>
      <c r="E116" s="165">
        <v>8.6</v>
      </c>
      <c r="F116" s="100">
        <f>E116*C111/1000</f>
        <v>3.01</v>
      </c>
      <c r="G116" s="100">
        <v>450</v>
      </c>
      <c r="H116" s="100">
        <f t="shared" si="11"/>
        <v>1354.5</v>
      </c>
    </row>
    <row r="117" spans="2:8" ht="12" customHeight="1" x14ac:dyDescent="0.2">
      <c r="B117" s="218"/>
      <c r="C117" s="219"/>
      <c r="D117" s="156" t="s">
        <v>175</v>
      </c>
      <c r="E117" s="100">
        <v>1.6</v>
      </c>
      <c r="F117" s="100">
        <f>E117*C111/1000</f>
        <v>0.56000000000000005</v>
      </c>
      <c r="G117" s="100">
        <v>500</v>
      </c>
      <c r="H117" s="100">
        <f t="shared" si="11"/>
        <v>280</v>
      </c>
    </row>
    <row r="118" spans="2:8" ht="20.25" customHeight="1" thickBot="1" x14ac:dyDescent="0.25">
      <c r="B118" s="218"/>
      <c r="C118" s="219"/>
      <c r="D118" s="156" t="s">
        <v>166</v>
      </c>
      <c r="E118" s="171">
        <v>10</v>
      </c>
      <c r="F118" s="100">
        <f>E118*C111/1000</f>
        <v>3.5</v>
      </c>
      <c r="G118" s="100">
        <v>20</v>
      </c>
      <c r="H118" s="100">
        <f t="shared" si="11"/>
        <v>70</v>
      </c>
    </row>
    <row r="119" spans="2:8" ht="20.25" customHeight="1" x14ac:dyDescent="0.25">
      <c r="B119" s="218"/>
      <c r="C119" s="219"/>
      <c r="D119" s="168" t="s">
        <v>147</v>
      </c>
      <c r="E119" s="100">
        <v>3.3</v>
      </c>
      <c r="F119" s="100">
        <f>E119*C111/1000</f>
        <v>1.155</v>
      </c>
      <c r="G119" s="100">
        <v>10</v>
      </c>
      <c r="H119" s="100">
        <f t="shared" si="11"/>
        <v>11.55</v>
      </c>
    </row>
    <row r="120" spans="2:8" ht="20.25" customHeight="1" x14ac:dyDescent="0.25">
      <c r="B120" s="218"/>
      <c r="C120" s="219"/>
      <c r="D120" s="168" t="s">
        <v>148</v>
      </c>
      <c r="E120" s="100">
        <v>334</v>
      </c>
      <c r="F120" s="100">
        <f>E120*C111/1000</f>
        <v>116.9</v>
      </c>
      <c r="G120" s="100">
        <v>18</v>
      </c>
      <c r="H120" s="100">
        <f t="shared" si="11"/>
        <v>2104.2000000000003</v>
      </c>
    </row>
    <row r="121" spans="2:8" ht="18" customHeight="1" thickBot="1" x14ac:dyDescent="0.3">
      <c r="B121" s="218"/>
      <c r="C121" s="219"/>
      <c r="D121" s="130"/>
      <c r="E121" s="131" t="s">
        <v>14</v>
      </c>
      <c r="F121" s="132">
        <f>H121/C111</f>
        <v>68.964500000000001</v>
      </c>
      <c r="G121" s="131" t="s">
        <v>59</v>
      </c>
      <c r="H121" s="133">
        <f>SUM(H111:H120)</f>
        <v>24137.575000000001</v>
      </c>
    </row>
    <row r="122" spans="2:8" ht="18" customHeight="1" thickBot="1" x14ac:dyDescent="0.25">
      <c r="B122" s="227" t="str">
        <f>B15</f>
        <v>Зефир «Маршмеллоу»</v>
      </c>
      <c r="C122" s="225">
        <f>E15</f>
        <v>375</v>
      </c>
      <c r="D122" s="179" t="s">
        <v>149</v>
      </c>
      <c r="E122" s="181">
        <v>415.8</v>
      </c>
      <c r="F122" s="44">
        <f>E122*C122/1000</f>
        <v>155.92500000000001</v>
      </c>
      <c r="G122" s="100">
        <v>45</v>
      </c>
      <c r="H122" s="100">
        <f>G122*F122</f>
        <v>7016.6250000000009</v>
      </c>
    </row>
    <row r="123" spans="2:8" ht="18" customHeight="1" thickBot="1" x14ac:dyDescent="0.25">
      <c r="B123" s="227"/>
      <c r="C123" s="225"/>
      <c r="D123" s="182" t="s">
        <v>98</v>
      </c>
      <c r="E123" s="165">
        <v>422.5</v>
      </c>
      <c r="F123" s="44">
        <f>E123*C122/1000</f>
        <v>158.4375</v>
      </c>
      <c r="G123" s="100">
        <v>45</v>
      </c>
      <c r="H123" s="100">
        <f t="shared" ref="H123:H130" si="12">G123*F123</f>
        <v>7129.6875</v>
      </c>
    </row>
    <row r="124" spans="2:8" ht="18" customHeight="1" x14ac:dyDescent="0.2">
      <c r="B124" s="227"/>
      <c r="C124" s="225"/>
      <c r="D124" s="191" t="s">
        <v>143</v>
      </c>
      <c r="E124" s="188">
        <v>1.43</v>
      </c>
      <c r="F124" s="44">
        <f>E124*C122/1000</f>
        <v>0.53625</v>
      </c>
      <c r="G124" s="100">
        <v>100</v>
      </c>
      <c r="H124" s="100">
        <f t="shared" si="12"/>
        <v>53.625</v>
      </c>
    </row>
    <row r="125" spans="2:8" ht="18" customHeight="1" x14ac:dyDescent="0.2">
      <c r="B125" s="227"/>
      <c r="C125" s="225"/>
      <c r="D125" s="192" t="s">
        <v>144</v>
      </c>
      <c r="E125" s="189">
        <v>1.5</v>
      </c>
      <c r="F125" s="44">
        <f>E125*C122/1000</f>
        <v>0.5625</v>
      </c>
      <c r="G125" s="100">
        <v>250</v>
      </c>
      <c r="H125" s="100">
        <f t="shared" si="12"/>
        <v>140.625</v>
      </c>
    </row>
    <row r="126" spans="2:8" ht="25.5" customHeight="1" x14ac:dyDescent="0.2">
      <c r="B126" s="227"/>
      <c r="C126" s="225"/>
      <c r="D126" s="157" t="s">
        <v>176</v>
      </c>
      <c r="E126" s="190">
        <v>40</v>
      </c>
      <c r="F126" s="44">
        <f>E126*C122/1000</f>
        <v>15</v>
      </c>
      <c r="G126" s="100">
        <v>450</v>
      </c>
      <c r="H126" s="100">
        <f t="shared" si="12"/>
        <v>6750</v>
      </c>
    </row>
    <row r="127" spans="2:8" ht="18" customHeight="1" x14ac:dyDescent="0.2">
      <c r="B127" s="227"/>
      <c r="C127" s="225"/>
      <c r="D127" s="157" t="s">
        <v>177</v>
      </c>
      <c r="E127" s="162">
        <v>21</v>
      </c>
      <c r="F127" s="44">
        <f>E127*C122/1000</f>
        <v>7.875</v>
      </c>
      <c r="G127" s="100">
        <v>300</v>
      </c>
      <c r="H127" s="100">
        <f t="shared" si="12"/>
        <v>2362.5</v>
      </c>
    </row>
    <row r="128" spans="2:8" ht="18" customHeight="1" x14ac:dyDescent="0.25">
      <c r="B128" s="227"/>
      <c r="C128" s="225"/>
      <c r="D128" s="168" t="s">
        <v>147</v>
      </c>
      <c r="E128" s="172">
        <v>0.4</v>
      </c>
      <c r="F128" s="44">
        <f>E128*C122/1000</f>
        <v>0.15</v>
      </c>
      <c r="G128" s="53">
        <v>10</v>
      </c>
      <c r="H128" s="100">
        <f t="shared" si="12"/>
        <v>1.5</v>
      </c>
    </row>
    <row r="129" spans="2:8" ht="18" customHeight="1" x14ac:dyDescent="0.2">
      <c r="B129" s="227"/>
      <c r="C129" s="225"/>
      <c r="D129" s="157" t="s">
        <v>165</v>
      </c>
      <c r="E129" s="172">
        <v>10</v>
      </c>
      <c r="F129" s="44">
        <f>E129*C122/1000</f>
        <v>3.75</v>
      </c>
      <c r="G129" s="53">
        <v>15</v>
      </c>
      <c r="H129" s="100">
        <f t="shared" si="12"/>
        <v>56.25</v>
      </c>
    </row>
    <row r="130" spans="2:8" ht="18" customHeight="1" x14ac:dyDescent="0.2">
      <c r="B130" s="227"/>
      <c r="C130" s="225"/>
      <c r="D130" s="127" t="s">
        <v>148</v>
      </c>
      <c r="E130" s="161">
        <v>74</v>
      </c>
      <c r="F130" s="44">
        <f>E130*C122/1000</f>
        <v>27.75</v>
      </c>
      <c r="G130" s="53">
        <v>20</v>
      </c>
      <c r="H130" s="100">
        <f t="shared" si="12"/>
        <v>555</v>
      </c>
    </row>
    <row r="131" spans="2:8" ht="18" customHeight="1" x14ac:dyDescent="0.25">
      <c r="B131" s="227"/>
      <c r="C131" s="225"/>
      <c r="D131" s="130"/>
      <c r="E131" s="173"/>
      <c r="F131" s="132">
        <f>H131/C122</f>
        <v>64.1755</v>
      </c>
      <c r="G131" s="131" t="s">
        <v>59</v>
      </c>
      <c r="H131" s="133">
        <f>SUM(H122:H130)</f>
        <v>24065.8125</v>
      </c>
    </row>
    <row r="132" spans="2:8" ht="18" customHeight="1" x14ac:dyDescent="0.4">
      <c r="E132"/>
      <c r="H132" s="196"/>
    </row>
    <row r="133" spans="2:8" ht="18" customHeight="1" x14ac:dyDescent="0.4">
      <c r="B133" s="197" t="s">
        <v>16</v>
      </c>
      <c r="E133"/>
      <c r="H133" s="198">
        <f>H131+H121+Лист2!H110+Лист2!H98+Лист2!H86+Лист2!H73+Лист2!H58+Лист2!H44+Лист2!H33</f>
        <v>216082.47500000001</v>
      </c>
    </row>
    <row r="134" spans="2:8" ht="18" customHeight="1" x14ac:dyDescent="0.2">
      <c r="E134"/>
    </row>
    <row r="135" spans="2:8" ht="16.5" customHeight="1" x14ac:dyDescent="0.2">
      <c r="E135"/>
    </row>
    <row r="136" spans="2:8" ht="18" customHeight="1" x14ac:dyDescent="0.2">
      <c r="E136"/>
    </row>
    <row r="137" spans="2:8" ht="18" customHeight="1" x14ac:dyDescent="0.2">
      <c r="E137"/>
    </row>
    <row r="138" spans="2:8" ht="15" customHeight="1" x14ac:dyDescent="0.2">
      <c r="E138"/>
    </row>
    <row r="139" spans="2:8" ht="28.5" customHeight="1" x14ac:dyDescent="0.2">
      <c r="E139"/>
    </row>
    <row r="140" spans="2:8" ht="13.5" customHeight="1" x14ac:dyDescent="0.2">
      <c r="E140"/>
    </row>
    <row r="141" spans="2:8" ht="16.5" customHeight="1" x14ac:dyDescent="0.2">
      <c r="E141"/>
    </row>
    <row r="142" spans="2:8" ht="13.5" customHeight="1" x14ac:dyDescent="0.2">
      <c r="E142"/>
    </row>
    <row r="143" spans="2:8" ht="15.75" customHeight="1" x14ac:dyDescent="0.2">
      <c r="E143"/>
    </row>
    <row r="144" spans="2:8" ht="21" customHeight="1" x14ac:dyDescent="0.2">
      <c r="E144"/>
    </row>
    <row r="145" spans="4:5" ht="15.75" customHeight="1" x14ac:dyDescent="0.2">
      <c r="D145" s="17"/>
      <c r="E145"/>
    </row>
    <row r="146" spans="4:5" ht="13.5" customHeight="1" x14ac:dyDescent="0.2">
      <c r="D146" s="17"/>
      <c r="E146"/>
    </row>
    <row r="147" spans="4:5" ht="15" customHeight="1" x14ac:dyDescent="0.2">
      <c r="D147" s="17"/>
      <c r="E147"/>
    </row>
    <row r="148" spans="4:5" ht="16.5" customHeight="1" x14ac:dyDescent="0.2">
      <c r="D148" s="17"/>
      <c r="E148"/>
    </row>
    <row r="149" spans="4:5" ht="18" customHeight="1" x14ac:dyDescent="0.2">
      <c r="D149" s="17"/>
      <c r="E149"/>
    </row>
    <row r="150" spans="4:5" ht="15" customHeight="1" x14ac:dyDescent="0.2">
      <c r="D150" s="17"/>
      <c r="E150"/>
    </row>
    <row r="151" spans="4:5" ht="11.25" customHeight="1" x14ac:dyDescent="0.2">
      <c r="D151" s="17"/>
      <c r="E151"/>
    </row>
    <row r="152" spans="4:5" ht="11.25" customHeight="1" x14ac:dyDescent="0.2">
      <c r="D152" s="17"/>
      <c r="E152"/>
    </row>
    <row r="153" spans="4:5" ht="11.25" customHeight="1" x14ac:dyDescent="0.2">
      <c r="D153" s="17"/>
      <c r="E153"/>
    </row>
    <row r="154" spans="4:5" ht="11.25" customHeight="1" x14ac:dyDescent="0.2">
      <c r="D154" s="17"/>
      <c r="E154"/>
    </row>
    <row r="155" spans="4:5" ht="11.25" customHeight="1" x14ac:dyDescent="0.2">
      <c r="D155" s="17"/>
      <c r="E155"/>
    </row>
    <row r="156" spans="4:5" ht="18.75" customHeight="1" x14ac:dyDescent="0.2">
      <c r="D156" s="17"/>
      <c r="E156"/>
    </row>
    <row r="157" spans="4:5" ht="15" customHeight="1" x14ac:dyDescent="0.2">
      <c r="D157" s="17"/>
      <c r="E157"/>
    </row>
    <row r="158" spans="4:5" ht="17.25" customHeight="1" x14ac:dyDescent="0.2">
      <c r="D158" s="17"/>
      <c r="E158"/>
    </row>
    <row r="159" spans="4:5" ht="12.75" customHeight="1" x14ac:dyDescent="0.2">
      <c r="D159" s="17"/>
      <c r="E159"/>
    </row>
    <row r="160" spans="4:5" ht="18.75" customHeight="1" x14ac:dyDescent="0.2">
      <c r="D160" s="17"/>
      <c r="E160"/>
    </row>
    <row r="161" spans="4:5" ht="18.75" customHeight="1" x14ac:dyDescent="0.2">
      <c r="D161" s="17"/>
      <c r="E161"/>
    </row>
    <row r="162" spans="4:5" ht="25.5" customHeight="1" x14ac:dyDescent="0.2">
      <c r="D162" s="17"/>
      <c r="E162"/>
    </row>
    <row r="163" spans="4:5" ht="24.75" customHeight="1" x14ac:dyDescent="0.2">
      <c r="D163" s="17"/>
      <c r="E163"/>
    </row>
    <row r="164" spans="4:5" ht="16.5" customHeight="1" x14ac:dyDescent="0.2">
      <c r="D164" s="17"/>
      <c r="E164"/>
    </row>
    <row r="165" spans="4:5" ht="15" customHeight="1" x14ac:dyDescent="0.2">
      <c r="D165" s="17"/>
      <c r="E165"/>
    </row>
    <row r="166" spans="4:5" ht="15" customHeight="1" x14ac:dyDescent="0.2">
      <c r="D166" s="17"/>
      <c r="E166"/>
    </row>
    <row r="167" spans="4:5" ht="18.75" customHeight="1" x14ac:dyDescent="0.2">
      <c r="D167" s="17"/>
      <c r="E167"/>
    </row>
    <row r="168" spans="4:5" ht="18.75" customHeight="1" x14ac:dyDescent="0.2">
      <c r="D168" s="17"/>
      <c r="E168"/>
    </row>
    <row r="169" spans="4:5" ht="18.75" customHeight="1" x14ac:dyDescent="0.2">
      <c r="D169" s="17"/>
      <c r="E169"/>
    </row>
    <row r="170" spans="4:5" ht="18.75" customHeight="1" x14ac:dyDescent="0.2">
      <c r="D170" s="17"/>
      <c r="E170"/>
    </row>
    <row r="171" spans="4:5" ht="18.75" customHeight="1" x14ac:dyDescent="0.2">
      <c r="D171" s="17"/>
      <c r="E171"/>
    </row>
    <row r="172" spans="4:5" ht="18.75" customHeight="1" x14ac:dyDescent="0.2">
      <c r="D172" s="17"/>
      <c r="E172"/>
    </row>
    <row r="173" spans="4:5" ht="18.75" customHeight="1" x14ac:dyDescent="0.2">
      <c r="D173" s="17"/>
      <c r="E173"/>
    </row>
    <row r="174" spans="4:5" ht="18.75" customHeight="1" x14ac:dyDescent="0.2">
      <c r="D174" s="17"/>
      <c r="E174"/>
    </row>
    <row r="175" spans="4:5" ht="18.75" customHeight="1" x14ac:dyDescent="0.2">
      <c r="D175" s="17"/>
      <c r="E175"/>
    </row>
    <row r="176" spans="4:5" ht="16.5" customHeight="1" x14ac:dyDescent="0.2">
      <c r="D176" s="17"/>
      <c r="E176"/>
    </row>
    <row r="177" spans="4:5" ht="25.5" customHeight="1" x14ac:dyDescent="0.2">
      <c r="D177" s="17"/>
      <c r="E177"/>
    </row>
    <row r="178" spans="4:5" ht="32.25" customHeight="1" x14ac:dyDescent="0.2">
      <c r="D178" s="17"/>
      <c r="E178"/>
    </row>
    <row r="179" spans="4:5" ht="18.75" customHeight="1" x14ac:dyDescent="0.2">
      <c r="D179" s="17"/>
      <c r="E179"/>
    </row>
    <row r="180" spans="4:5" ht="18.75" customHeight="1" x14ac:dyDescent="0.2">
      <c r="D180" s="17"/>
      <c r="E180"/>
    </row>
    <row r="181" spans="4:5" ht="18.75" customHeight="1" x14ac:dyDescent="0.2">
      <c r="D181" s="17"/>
      <c r="E181"/>
    </row>
    <row r="182" spans="4:5" ht="18.75" customHeight="1" x14ac:dyDescent="0.2">
      <c r="D182" s="17"/>
      <c r="E182"/>
    </row>
    <row r="183" spans="4:5" ht="18.75" customHeight="1" x14ac:dyDescent="0.2">
      <c r="D183" s="17"/>
      <c r="E183"/>
    </row>
    <row r="184" spans="4:5" ht="18.75" customHeight="1" x14ac:dyDescent="0.2">
      <c r="D184" s="17"/>
      <c r="E184"/>
    </row>
    <row r="185" spans="4:5" ht="18.75" customHeight="1" x14ac:dyDescent="0.2">
      <c r="D185" s="17"/>
      <c r="E185"/>
    </row>
    <row r="186" spans="4:5" ht="18.75" customHeight="1" x14ac:dyDescent="0.2">
      <c r="D186" s="17"/>
      <c r="E186"/>
    </row>
    <row r="187" spans="4:5" ht="18.75" customHeight="1" x14ac:dyDescent="0.2">
      <c r="D187" s="17"/>
      <c r="E187"/>
    </row>
    <row r="188" spans="4:5" ht="18.75" customHeight="1" x14ac:dyDescent="0.2">
      <c r="D188" s="17"/>
      <c r="E188"/>
    </row>
    <row r="189" spans="4:5" ht="18.75" customHeight="1" x14ac:dyDescent="0.2">
      <c r="D189" s="17"/>
      <c r="E189"/>
    </row>
    <row r="190" spans="4:5" ht="18.75" customHeight="1" x14ac:dyDescent="0.2">
      <c r="D190" s="17"/>
      <c r="E190"/>
    </row>
    <row r="191" spans="4:5" ht="18.75" customHeight="1" x14ac:dyDescent="0.2">
      <c r="D191" s="17"/>
      <c r="E191"/>
    </row>
    <row r="192" spans="4:5" ht="18.75" customHeight="1" x14ac:dyDescent="0.2">
      <c r="D192" s="17"/>
      <c r="E192"/>
    </row>
    <row r="193" spans="4:5" ht="14.25" customHeight="1" x14ac:dyDescent="0.2">
      <c r="D193" s="17"/>
      <c r="E193"/>
    </row>
    <row r="194" spans="4:5" ht="29.25" customHeight="1" x14ac:dyDescent="0.2">
      <c r="D194" s="17"/>
      <c r="E194"/>
    </row>
    <row r="195" spans="4:5" ht="27.75" customHeight="1" x14ac:dyDescent="0.2">
      <c r="D195" s="17"/>
      <c r="E195"/>
    </row>
    <row r="196" spans="4:5" ht="17.25" customHeight="1" x14ac:dyDescent="0.2">
      <c r="D196" s="17"/>
      <c r="E196"/>
    </row>
    <row r="197" spans="4:5" ht="17.25" customHeight="1" x14ac:dyDescent="0.2">
      <c r="D197" s="17"/>
      <c r="E197"/>
    </row>
    <row r="198" spans="4:5" ht="17.25" customHeight="1" x14ac:dyDescent="0.2">
      <c r="D198" s="17"/>
      <c r="E198"/>
    </row>
    <row r="199" spans="4:5" ht="18" customHeight="1" x14ac:dyDescent="0.2">
      <c r="D199" s="17"/>
      <c r="E199"/>
    </row>
    <row r="200" spans="4:5" ht="18.75" customHeight="1" x14ac:dyDescent="0.2">
      <c r="D200" s="17"/>
      <c r="E200"/>
    </row>
    <row r="201" spans="4:5" ht="18.75" customHeight="1" x14ac:dyDescent="0.2">
      <c r="D201" s="17"/>
      <c r="E201"/>
    </row>
    <row r="202" spans="4:5" ht="18.75" customHeight="1" x14ac:dyDescent="0.2">
      <c r="D202" s="17"/>
      <c r="E202"/>
    </row>
    <row r="203" spans="4:5" ht="18.75" customHeight="1" x14ac:dyDescent="0.2">
      <c r="D203" s="17"/>
      <c r="E203"/>
    </row>
    <row r="204" spans="4:5" ht="18.75" customHeight="1" x14ac:dyDescent="0.2">
      <c r="D204" s="17"/>
      <c r="E204"/>
    </row>
    <row r="205" spans="4:5" ht="18.75" customHeight="1" x14ac:dyDescent="0.2">
      <c r="D205" s="17"/>
      <c r="E205"/>
    </row>
    <row r="206" spans="4:5" ht="18.75" customHeight="1" x14ac:dyDescent="0.2">
      <c r="D206" s="17"/>
      <c r="E206"/>
    </row>
    <row r="207" spans="4:5" ht="18.75" customHeight="1" x14ac:dyDescent="0.2">
      <c r="D207" s="17"/>
      <c r="E207"/>
    </row>
    <row r="208" spans="4:5" ht="18.75" customHeight="1" x14ac:dyDescent="0.2">
      <c r="D208" s="17"/>
      <c r="E208"/>
    </row>
    <row r="209" spans="4:5" ht="18.75" customHeight="1" x14ac:dyDescent="0.2">
      <c r="D209" s="17"/>
      <c r="E209"/>
    </row>
    <row r="210" spans="4:5" ht="18.75" customHeight="1" x14ac:dyDescent="0.2">
      <c r="D210" s="17"/>
      <c r="E210"/>
    </row>
    <row r="211" spans="4:5" ht="18.75" customHeight="1" x14ac:dyDescent="0.2">
      <c r="D211" s="17"/>
      <c r="E211"/>
    </row>
    <row r="212" spans="4:5" ht="18.75" customHeight="1" x14ac:dyDescent="0.2">
      <c r="D212" s="17"/>
      <c r="E212"/>
    </row>
    <row r="213" spans="4:5" ht="18.75" customHeight="1" x14ac:dyDescent="0.2">
      <c r="D213" s="17"/>
      <c r="E213"/>
    </row>
    <row r="214" spans="4:5" ht="18.75" customHeight="1" x14ac:dyDescent="0.2">
      <c r="D214" s="17"/>
      <c r="E214"/>
    </row>
    <row r="215" spans="4:5" ht="18.75" customHeight="1" x14ac:dyDescent="0.2">
      <c r="D215" s="17"/>
      <c r="E215"/>
    </row>
    <row r="216" spans="4:5" ht="18.75" customHeight="1" x14ac:dyDescent="0.2">
      <c r="D216" s="17"/>
      <c r="E216"/>
    </row>
    <row r="217" spans="4:5" ht="18.75" customHeight="1" x14ac:dyDescent="0.2">
      <c r="D217" s="17"/>
      <c r="E217"/>
    </row>
    <row r="218" spans="4:5" ht="18.75" customHeight="1" x14ac:dyDescent="0.2">
      <c r="D218" s="17"/>
      <c r="E218"/>
    </row>
    <row r="219" spans="4:5" ht="18.75" customHeight="1" x14ac:dyDescent="0.2">
      <c r="D219" s="17"/>
      <c r="E219"/>
    </row>
    <row r="220" spans="4:5" ht="18.75" customHeight="1" x14ac:dyDescent="0.2">
      <c r="D220" s="17"/>
      <c r="E220"/>
    </row>
    <row r="221" spans="4:5" ht="18.75" customHeight="1" x14ac:dyDescent="0.2">
      <c r="D221" s="17"/>
      <c r="E221"/>
    </row>
    <row r="222" spans="4:5" ht="18.75" customHeight="1" x14ac:dyDescent="0.2">
      <c r="D222" s="17"/>
      <c r="E222"/>
    </row>
    <row r="223" spans="4:5" ht="18.75" customHeight="1" x14ac:dyDescent="0.2">
      <c r="D223" s="17"/>
      <c r="E223"/>
    </row>
    <row r="224" spans="4:5" ht="18.75" customHeight="1" x14ac:dyDescent="0.2">
      <c r="D224" s="17"/>
      <c r="E224"/>
    </row>
    <row r="225" spans="4:5" ht="18.75" customHeight="1" x14ac:dyDescent="0.2">
      <c r="D225" s="17"/>
      <c r="E225"/>
    </row>
    <row r="226" spans="4:5" ht="18.75" customHeight="1" x14ac:dyDescent="0.2">
      <c r="D226" s="17"/>
      <c r="E226"/>
    </row>
    <row r="227" spans="4:5" ht="18.75" customHeight="1" x14ac:dyDescent="0.2">
      <c r="D227" s="17"/>
      <c r="E227"/>
    </row>
    <row r="228" spans="4:5" ht="18.75" customHeight="1" x14ac:dyDescent="0.2">
      <c r="D228" s="17"/>
      <c r="E228"/>
    </row>
    <row r="229" spans="4:5" ht="18.75" customHeight="1" x14ac:dyDescent="0.2">
      <c r="D229" s="17"/>
      <c r="E229"/>
    </row>
    <row r="230" spans="4:5" ht="18.75" customHeight="1" x14ac:dyDescent="0.2">
      <c r="D230" s="17"/>
      <c r="E230"/>
    </row>
    <row r="231" spans="4:5" ht="18.75" customHeight="1" x14ac:dyDescent="0.2">
      <c r="D231" s="17"/>
      <c r="E231"/>
    </row>
    <row r="232" spans="4:5" ht="18.75" customHeight="1" x14ac:dyDescent="0.2">
      <c r="D232" s="17"/>
      <c r="E232"/>
    </row>
    <row r="233" spans="4:5" ht="18.75" customHeight="1" x14ac:dyDescent="0.2">
      <c r="D233" s="17"/>
      <c r="E233"/>
    </row>
    <row r="234" spans="4:5" ht="18.75" customHeight="1" x14ac:dyDescent="0.2">
      <c r="D234" s="17"/>
      <c r="E234"/>
    </row>
    <row r="235" spans="4:5" ht="18.75" customHeight="1" x14ac:dyDescent="0.2">
      <c r="D235" s="17"/>
      <c r="E235"/>
    </row>
    <row r="236" spans="4:5" ht="18.75" customHeight="1" x14ac:dyDescent="0.2">
      <c r="D236" s="17"/>
      <c r="E236"/>
    </row>
    <row r="237" spans="4:5" ht="18.75" customHeight="1" x14ac:dyDescent="0.2">
      <c r="D237" s="17"/>
      <c r="E237"/>
    </row>
    <row r="238" spans="4:5" ht="18.75" customHeight="1" x14ac:dyDescent="0.2">
      <c r="D238" s="17"/>
      <c r="E238"/>
    </row>
    <row r="239" spans="4:5" ht="18.75" customHeight="1" x14ac:dyDescent="0.2">
      <c r="D239" s="17"/>
      <c r="E239"/>
    </row>
    <row r="240" spans="4:5" ht="18.75" customHeight="1" x14ac:dyDescent="0.2">
      <c r="D240" s="17"/>
      <c r="E240"/>
    </row>
    <row r="241" spans="4:5" ht="18.75" customHeight="1" x14ac:dyDescent="0.2">
      <c r="D241" s="17"/>
      <c r="E241"/>
    </row>
    <row r="242" spans="4:5" ht="18.75" customHeight="1" x14ac:dyDescent="0.2">
      <c r="D242" s="17"/>
      <c r="E242"/>
    </row>
    <row r="243" spans="4:5" ht="18.75" customHeight="1" x14ac:dyDescent="0.2">
      <c r="D243" s="17"/>
      <c r="E243"/>
    </row>
    <row r="244" spans="4:5" ht="18.75" customHeight="1" x14ac:dyDescent="0.2">
      <c r="D244" s="17"/>
      <c r="E244"/>
    </row>
    <row r="245" spans="4:5" ht="18.75" customHeight="1" x14ac:dyDescent="0.2">
      <c r="D245" s="17"/>
      <c r="E245"/>
    </row>
    <row r="246" spans="4:5" ht="18.75" customHeight="1" x14ac:dyDescent="0.2">
      <c r="D246" s="17"/>
      <c r="E246"/>
    </row>
    <row r="247" spans="4:5" ht="18.75" customHeight="1" x14ac:dyDescent="0.2">
      <c r="D247" s="17"/>
      <c r="E247"/>
    </row>
    <row r="248" spans="4:5" ht="18.75" customHeight="1" x14ac:dyDescent="0.2">
      <c r="D248" s="17"/>
      <c r="E248"/>
    </row>
    <row r="249" spans="4:5" ht="18.75" customHeight="1" x14ac:dyDescent="0.2">
      <c r="D249" s="17"/>
      <c r="E249"/>
    </row>
    <row r="250" spans="4:5" ht="18.75" customHeight="1" x14ac:dyDescent="0.2">
      <c r="D250" s="17"/>
      <c r="E250"/>
    </row>
    <row r="251" spans="4:5" ht="18.75" customHeight="1" x14ac:dyDescent="0.2">
      <c r="D251" s="17"/>
      <c r="E251"/>
    </row>
    <row r="252" spans="4:5" ht="18.75" customHeight="1" x14ac:dyDescent="0.2">
      <c r="D252" s="17"/>
      <c r="E252"/>
    </row>
    <row r="253" spans="4:5" ht="18.75" customHeight="1" x14ac:dyDescent="0.2">
      <c r="D253" s="17"/>
      <c r="E253"/>
    </row>
    <row r="254" spans="4:5" ht="18.75" customHeight="1" x14ac:dyDescent="0.2">
      <c r="D254" s="17"/>
      <c r="E254"/>
    </row>
    <row r="255" spans="4:5" ht="18.75" customHeight="1" x14ac:dyDescent="0.2">
      <c r="D255" s="17"/>
      <c r="E255"/>
    </row>
    <row r="256" spans="4:5" ht="18.75" customHeight="1" x14ac:dyDescent="0.2">
      <c r="D256" s="17"/>
      <c r="E256"/>
    </row>
    <row r="257" spans="2:8" ht="18.75" customHeight="1" x14ac:dyDescent="0.2">
      <c r="D257" s="17"/>
      <c r="E257"/>
    </row>
    <row r="258" spans="2:8" ht="18.75" customHeight="1" x14ac:dyDescent="0.2">
      <c r="D258" s="17"/>
      <c r="E258"/>
    </row>
    <row r="259" spans="2:8" ht="18.75" customHeight="1" x14ac:dyDescent="0.2">
      <c r="D259" s="17"/>
      <c r="E259"/>
    </row>
    <row r="260" spans="2:8" ht="23.25" customHeight="1" x14ac:dyDescent="0.2">
      <c r="B260" s="20"/>
      <c r="D260" s="17"/>
      <c r="E260"/>
    </row>
    <row r="261" spans="2:8" ht="25.5" customHeight="1" x14ac:dyDescent="0.2">
      <c r="B261" s="32"/>
      <c r="C261" s="33"/>
      <c r="D261" s="1"/>
      <c r="E261" s="101"/>
      <c r="F261" s="25"/>
      <c r="G261" s="25"/>
      <c r="H261" s="25"/>
    </row>
    <row r="262" spans="2:8" ht="26.25" customHeight="1" x14ac:dyDescent="0.2">
      <c r="B262" s="32"/>
      <c r="C262" s="33"/>
      <c r="D262" s="1"/>
      <c r="E262" s="101"/>
      <c r="F262" s="25"/>
      <c r="G262" s="25"/>
      <c r="H262" s="25"/>
    </row>
    <row r="263" spans="2:8" ht="18.75" customHeight="1" x14ac:dyDescent="0.2">
      <c r="B263" s="32"/>
      <c r="C263" s="33"/>
      <c r="D263" s="1"/>
      <c r="E263" s="101"/>
      <c r="F263" s="25"/>
      <c r="G263" s="25"/>
      <c r="H263" s="25"/>
    </row>
    <row r="264" spans="2:8" ht="27" customHeight="1" x14ac:dyDescent="0.2">
      <c r="B264" s="32"/>
      <c r="C264" s="33"/>
      <c r="D264" s="1"/>
      <c r="E264" s="101"/>
      <c r="F264" s="25"/>
      <c r="G264" s="25"/>
      <c r="H264" s="25"/>
    </row>
    <row r="265" spans="2:8" ht="25.5" customHeight="1" x14ac:dyDescent="0.2">
      <c r="B265" s="32"/>
      <c r="C265" s="33"/>
      <c r="D265" s="1"/>
      <c r="E265" s="101"/>
      <c r="F265" s="25"/>
      <c r="G265" s="25"/>
      <c r="H265" s="25"/>
    </row>
    <row r="266" spans="2:8" ht="18.75" customHeight="1" x14ac:dyDescent="0.2">
      <c r="B266" s="32"/>
      <c r="C266" s="33"/>
      <c r="D266" s="1"/>
      <c r="E266" s="101"/>
      <c r="F266" s="25"/>
      <c r="G266" s="25"/>
      <c r="H266" s="25"/>
    </row>
    <row r="267" spans="2:8" ht="18.75" customHeight="1" x14ac:dyDescent="0.2">
      <c r="B267" s="32"/>
      <c r="C267" s="33"/>
      <c r="D267" s="1"/>
      <c r="E267" s="102"/>
      <c r="F267" s="25"/>
      <c r="G267" s="25"/>
      <c r="H267" s="25"/>
    </row>
    <row r="268" spans="2:8" ht="18.75" customHeight="1" x14ac:dyDescent="0.2">
      <c r="B268" s="32"/>
      <c r="C268" s="33"/>
      <c r="D268" s="1"/>
      <c r="E268" s="101"/>
      <c r="F268" s="25"/>
      <c r="G268" s="25"/>
      <c r="H268" s="25"/>
    </row>
    <row r="269" spans="2:8" ht="18.75" customHeight="1" x14ac:dyDescent="0.2">
      <c r="B269" s="32"/>
      <c r="C269" s="33"/>
      <c r="D269" s="1"/>
      <c r="E269" s="101"/>
      <c r="F269" s="25"/>
      <c r="G269" s="25"/>
      <c r="H269" s="25"/>
    </row>
    <row r="270" spans="2:8" ht="18.75" customHeight="1" x14ac:dyDescent="0.25">
      <c r="B270" s="32"/>
      <c r="C270" s="33"/>
      <c r="E270" s="103"/>
      <c r="F270" s="28"/>
      <c r="G270" s="46"/>
      <c r="H270" s="29"/>
    </row>
    <row r="271" spans="2:8" ht="25.5" customHeight="1" x14ac:dyDescent="0.2">
      <c r="B271" s="210"/>
      <c r="C271" s="211"/>
      <c r="D271" s="1"/>
      <c r="E271" s="101"/>
      <c r="F271" s="25"/>
      <c r="G271" s="25"/>
      <c r="H271" s="25"/>
    </row>
    <row r="272" spans="2:8" ht="25.5" customHeight="1" x14ac:dyDescent="0.2">
      <c r="B272" s="210"/>
      <c r="C272" s="210"/>
      <c r="D272" s="1"/>
      <c r="E272" s="101"/>
      <c r="F272" s="25"/>
      <c r="G272" s="25"/>
      <c r="H272" s="25"/>
    </row>
    <row r="273" spans="2:8" ht="25.5" customHeight="1" x14ac:dyDescent="0.2">
      <c r="B273" s="210"/>
      <c r="C273" s="210"/>
      <c r="D273" s="1"/>
      <c r="E273" s="101"/>
      <c r="F273" s="25"/>
      <c r="G273" s="25"/>
      <c r="H273" s="25"/>
    </row>
    <row r="274" spans="2:8" ht="17.25" customHeight="1" x14ac:dyDescent="0.2">
      <c r="B274" s="210"/>
      <c r="C274" s="210"/>
      <c r="D274" s="1"/>
      <c r="E274" s="101"/>
      <c r="F274" s="25"/>
      <c r="G274" s="25"/>
      <c r="H274" s="25"/>
    </row>
    <row r="275" spans="2:8" ht="27" customHeight="1" x14ac:dyDescent="0.2">
      <c r="B275" s="210"/>
      <c r="C275" s="210"/>
      <c r="D275" s="1"/>
      <c r="E275" s="101"/>
      <c r="F275" s="25"/>
      <c r="G275" s="25"/>
      <c r="H275" s="25"/>
    </row>
    <row r="276" spans="2:8" ht="24.75" customHeight="1" x14ac:dyDescent="0.2">
      <c r="B276" s="210"/>
      <c r="C276" s="210"/>
      <c r="D276" s="1"/>
      <c r="E276" s="102"/>
      <c r="F276" s="25"/>
      <c r="G276" s="25"/>
      <c r="H276" s="25"/>
    </row>
    <row r="277" spans="2:8" ht="18.75" customHeight="1" x14ac:dyDescent="0.2">
      <c r="B277" s="210"/>
      <c r="C277" s="210"/>
      <c r="D277" s="1"/>
      <c r="E277" s="91"/>
      <c r="F277" s="25"/>
      <c r="G277" s="25"/>
      <c r="H277" s="25"/>
    </row>
    <row r="278" spans="2:8" ht="18.75" customHeight="1" x14ac:dyDescent="0.2">
      <c r="B278" s="210"/>
      <c r="C278" s="210"/>
      <c r="D278" s="1"/>
      <c r="E278" s="91"/>
      <c r="F278" s="25"/>
      <c r="G278" s="25"/>
      <c r="H278" s="25"/>
    </row>
    <row r="279" spans="2:8" ht="18.75" customHeight="1" x14ac:dyDescent="0.2">
      <c r="B279" s="210"/>
      <c r="C279" s="210"/>
      <c r="D279" s="1"/>
      <c r="E279" s="91"/>
      <c r="F279" s="25"/>
      <c r="G279" s="25"/>
      <c r="H279" s="25"/>
    </row>
    <row r="280" spans="2:8" ht="18.75" customHeight="1" x14ac:dyDescent="0.25">
      <c r="B280" s="210"/>
      <c r="C280" s="210"/>
      <c r="E280" s="92"/>
      <c r="F280" s="28"/>
      <c r="G280" s="46"/>
      <c r="H280" s="29"/>
    </row>
    <row r="281" spans="2:8" ht="15.75" x14ac:dyDescent="0.25">
      <c r="B281" s="32"/>
      <c r="C281" s="47"/>
      <c r="D281" s="30"/>
      <c r="E281" s="91"/>
      <c r="F281" s="25"/>
      <c r="G281" s="25"/>
      <c r="H281" s="48"/>
    </row>
    <row r="282" spans="2:8" ht="30" customHeight="1" x14ac:dyDescent="0.2">
      <c r="B282" s="32"/>
      <c r="C282" s="33"/>
      <c r="D282" s="16"/>
      <c r="E282" s="91"/>
      <c r="F282" s="25"/>
      <c r="G282" s="25"/>
      <c r="H282" s="25"/>
    </row>
    <row r="283" spans="2:8" x14ac:dyDescent="0.2">
      <c r="B283" s="32"/>
      <c r="C283" s="33"/>
      <c r="D283" s="16"/>
      <c r="E283" s="91"/>
      <c r="F283" s="25"/>
      <c r="G283" s="25"/>
      <c r="H283" s="26"/>
    </row>
  </sheetData>
  <mergeCells count="40">
    <mergeCell ref="A7:A9"/>
    <mergeCell ref="A16:B16"/>
    <mergeCell ref="A10:A12"/>
    <mergeCell ref="A13:A15"/>
    <mergeCell ref="B74:B86"/>
    <mergeCell ref="B19:H19"/>
    <mergeCell ref="B23:B33"/>
    <mergeCell ref="C23:C33"/>
    <mergeCell ref="B34:B44"/>
    <mergeCell ref="C34:C44"/>
    <mergeCell ref="A1:J1"/>
    <mergeCell ref="A3:A4"/>
    <mergeCell ref="B3:B4"/>
    <mergeCell ref="C3:C4"/>
    <mergeCell ref="D3:D4"/>
    <mergeCell ref="E3:E4"/>
    <mergeCell ref="K3:K4"/>
    <mergeCell ref="F3:F4"/>
    <mergeCell ref="G3:H3"/>
    <mergeCell ref="I3:J3"/>
    <mergeCell ref="C122:C131"/>
    <mergeCell ref="K23:K46"/>
    <mergeCell ref="B20:H20"/>
    <mergeCell ref="B122:B131"/>
    <mergeCell ref="C74:C86"/>
    <mergeCell ref="B87:B98"/>
    <mergeCell ref="C87:C98"/>
    <mergeCell ref="B111:B121"/>
    <mergeCell ref="C111:C121"/>
    <mergeCell ref="M23:M46"/>
    <mergeCell ref="K47:K59"/>
    <mergeCell ref="M47:M59"/>
    <mergeCell ref="B271:B280"/>
    <mergeCell ref="C271:C280"/>
    <mergeCell ref="B45:B58"/>
    <mergeCell ref="C45:C58"/>
    <mergeCell ref="B59:B73"/>
    <mergeCell ref="C59:C73"/>
    <mergeCell ref="C99:C110"/>
    <mergeCell ref="B99:B110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0"/>
  <sheetViews>
    <sheetView workbookViewId="0">
      <selection activeCell="E19" sqref="E19"/>
    </sheetView>
  </sheetViews>
  <sheetFormatPr defaultRowHeight="12.75" x14ac:dyDescent="0.2"/>
  <cols>
    <col min="1" max="1" width="27.140625" customWidth="1"/>
    <col min="2" max="2" width="9.5703125" customWidth="1"/>
    <col min="3" max="3" width="10.7109375" customWidth="1"/>
    <col min="4" max="4" width="9.42578125" customWidth="1"/>
    <col min="5" max="5" width="11.85546875" customWidth="1"/>
    <col min="6" max="7" width="9.42578125" customWidth="1"/>
    <col min="8" max="8" width="9.42578125" hidden="1" customWidth="1"/>
    <col min="9" max="9" width="9.42578125" customWidth="1"/>
    <col min="10" max="10" width="0.140625" customWidth="1"/>
    <col min="11" max="11" width="10.5703125" customWidth="1"/>
    <col min="12" max="12" width="12.28515625" customWidth="1"/>
    <col min="13" max="13" width="12.140625" customWidth="1"/>
    <col min="14" max="14" width="0.140625" customWidth="1"/>
    <col min="15" max="15" width="13" hidden="1" customWidth="1"/>
    <col min="16" max="16" width="9.140625" hidden="1" customWidth="1"/>
    <col min="17" max="17" width="11.85546875" hidden="1" customWidth="1"/>
  </cols>
  <sheetData>
    <row r="1" spans="1:13" x14ac:dyDescent="0.2">
      <c r="A1" s="21"/>
      <c r="B1" s="21"/>
      <c r="C1" s="21"/>
      <c r="D1" s="21"/>
      <c r="E1" s="21"/>
    </row>
    <row r="2" spans="1:13" x14ac:dyDescent="0.2">
      <c r="A2" s="241" t="s">
        <v>90</v>
      </c>
      <c r="B2" s="241"/>
      <c r="C2" s="241"/>
      <c r="D2" s="241"/>
      <c r="E2" s="241"/>
      <c r="F2" s="11"/>
      <c r="G2" s="11"/>
      <c r="H2" s="11"/>
      <c r="I2" s="11"/>
      <c r="J2" s="11"/>
      <c r="K2" s="11"/>
      <c r="L2" s="11"/>
      <c r="M2" s="11"/>
    </row>
    <row r="3" spans="1:13" ht="13.5" thickBot="1" x14ac:dyDescent="0.25">
      <c r="A3" s="21"/>
      <c r="B3" s="21"/>
      <c r="C3" s="21"/>
      <c r="D3" s="21"/>
      <c r="E3" s="21"/>
    </row>
    <row r="4" spans="1:13" ht="69" customHeight="1" thickBot="1" x14ac:dyDescent="0.25">
      <c r="A4" s="59" t="s">
        <v>17</v>
      </c>
      <c r="B4" s="60" t="s">
        <v>18</v>
      </c>
      <c r="C4" s="60" t="s">
        <v>80</v>
      </c>
      <c r="D4" s="61" t="s">
        <v>74</v>
      </c>
      <c r="E4" s="62" t="s">
        <v>81</v>
      </c>
      <c r="F4" s="2"/>
      <c r="G4" s="2"/>
      <c r="H4" s="2"/>
      <c r="I4" s="2"/>
      <c r="J4" s="2"/>
      <c r="K4" s="2"/>
      <c r="L4" s="2"/>
    </row>
    <row r="5" spans="1:13" ht="13.5" thickBot="1" x14ac:dyDescent="0.25">
      <c r="A5" s="63">
        <v>1</v>
      </c>
      <c r="B5" s="64">
        <v>2</v>
      </c>
      <c r="C5" s="64">
        <v>3</v>
      </c>
      <c r="D5" s="65">
        <v>4</v>
      </c>
      <c r="E5" s="66">
        <v>5</v>
      </c>
      <c r="F5" s="2"/>
      <c r="G5" s="2"/>
      <c r="H5" s="2"/>
      <c r="I5" s="2"/>
      <c r="J5" s="2"/>
      <c r="K5" s="2"/>
      <c r="L5" s="2"/>
    </row>
    <row r="6" spans="1:13" x14ac:dyDescent="0.2">
      <c r="A6" s="112" t="s">
        <v>19</v>
      </c>
      <c r="B6" s="106">
        <v>34</v>
      </c>
      <c r="C6" s="106">
        <f>C15*B6/100</f>
        <v>119952</v>
      </c>
      <c r="D6" s="107">
        <v>2.4</v>
      </c>
      <c r="E6" s="108">
        <f>C6*D6/100</f>
        <v>2878.848</v>
      </c>
      <c r="F6" s="2"/>
      <c r="G6" s="2"/>
      <c r="H6" s="2"/>
      <c r="I6" s="2"/>
      <c r="J6" s="2"/>
      <c r="K6" s="2"/>
      <c r="L6" s="2"/>
    </row>
    <row r="7" spans="1:13" x14ac:dyDescent="0.2">
      <c r="A7" s="113" t="s">
        <v>20</v>
      </c>
      <c r="B7" s="100">
        <v>5.5</v>
      </c>
      <c r="C7" s="106">
        <f>C15*B7/100</f>
        <v>19404</v>
      </c>
      <c r="D7" s="107">
        <v>3.8</v>
      </c>
      <c r="E7" s="108">
        <f t="shared" ref="E7:E13" si="0">C7*D7/100</f>
        <v>737.35199999999998</v>
      </c>
      <c r="F7" s="2"/>
      <c r="G7" s="2"/>
      <c r="H7" s="2"/>
      <c r="I7" s="2"/>
      <c r="J7" s="2"/>
      <c r="K7" s="2"/>
      <c r="L7" s="2"/>
    </row>
    <row r="8" spans="1:13" ht="12.75" customHeight="1" x14ac:dyDescent="0.2">
      <c r="A8" s="113" t="s">
        <v>21</v>
      </c>
      <c r="B8" s="100">
        <v>4.5</v>
      </c>
      <c r="C8" s="106">
        <f>C15*B8/100</f>
        <v>15876</v>
      </c>
      <c r="D8" s="107">
        <v>3.6</v>
      </c>
      <c r="E8" s="108">
        <f t="shared" si="0"/>
        <v>571.53599999999994</v>
      </c>
      <c r="F8" s="2"/>
      <c r="G8" s="2"/>
      <c r="H8" s="2"/>
      <c r="I8" s="2"/>
      <c r="J8" s="2"/>
      <c r="K8" s="2"/>
      <c r="L8" s="2"/>
    </row>
    <row r="9" spans="1:13" ht="25.5" x14ac:dyDescent="0.2">
      <c r="A9" s="113" t="s">
        <v>22</v>
      </c>
      <c r="B9" s="100">
        <v>8.5</v>
      </c>
      <c r="C9" s="106">
        <f>C15*B9/100</f>
        <v>29988</v>
      </c>
      <c r="D9" s="107">
        <v>8.5</v>
      </c>
      <c r="E9" s="108">
        <f t="shared" si="0"/>
        <v>2548.98</v>
      </c>
      <c r="F9" s="2"/>
      <c r="G9" s="2"/>
      <c r="H9" s="2"/>
      <c r="I9" s="2"/>
      <c r="J9" s="2"/>
      <c r="K9" s="2"/>
      <c r="L9" s="2"/>
    </row>
    <row r="10" spans="1:13" ht="12.75" customHeight="1" x14ac:dyDescent="0.2">
      <c r="A10" s="113" t="s">
        <v>23</v>
      </c>
      <c r="B10" s="100">
        <v>44.5</v>
      </c>
      <c r="C10" s="106">
        <f>C15*B10/100</f>
        <v>156996</v>
      </c>
      <c r="D10" s="107">
        <v>17</v>
      </c>
      <c r="E10" s="108">
        <f t="shared" si="0"/>
        <v>26689.32</v>
      </c>
      <c r="F10" s="2"/>
      <c r="G10" s="2"/>
      <c r="H10" s="2"/>
      <c r="I10" s="2"/>
      <c r="J10" s="2"/>
      <c r="K10" s="2"/>
      <c r="L10" s="2"/>
    </row>
    <row r="11" spans="1:13" ht="25.5" x14ac:dyDescent="0.2">
      <c r="A11" s="113" t="s">
        <v>24</v>
      </c>
      <c r="B11" s="100">
        <v>1.5</v>
      </c>
      <c r="C11" s="106">
        <f>C15*B11/100</f>
        <v>5292</v>
      </c>
      <c r="D11" s="107">
        <v>12.5</v>
      </c>
      <c r="E11" s="108">
        <f t="shared" si="0"/>
        <v>661.5</v>
      </c>
      <c r="F11" s="2"/>
      <c r="G11" s="2"/>
      <c r="H11" s="2"/>
      <c r="I11" s="2"/>
      <c r="J11" s="2"/>
      <c r="K11" s="2"/>
      <c r="L11" s="2"/>
    </row>
    <row r="12" spans="1:13" ht="12.75" customHeight="1" x14ac:dyDescent="0.2">
      <c r="A12" s="113" t="s">
        <v>25</v>
      </c>
      <c r="B12" s="100">
        <v>1</v>
      </c>
      <c r="C12" s="106">
        <f>C15*B12/100</f>
        <v>3528</v>
      </c>
      <c r="D12" s="107">
        <v>9.1999999999999993</v>
      </c>
      <c r="E12" s="108">
        <f t="shared" si="0"/>
        <v>324.57599999999996</v>
      </c>
      <c r="F12" s="2"/>
      <c r="G12" s="2"/>
      <c r="H12" s="2"/>
      <c r="I12" s="2"/>
      <c r="J12" s="2"/>
      <c r="K12" s="2"/>
      <c r="L12" s="2"/>
    </row>
    <row r="13" spans="1:13" ht="18.75" customHeight="1" x14ac:dyDescent="0.2">
      <c r="A13" s="113" t="s">
        <v>26</v>
      </c>
      <c r="B13" s="100">
        <v>0.3</v>
      </c>
      <c r="C13" s="106">
        <f>C15*B13/100</f>
        <v>1058.4000000000001</v>
      </c>
      <c r="D13" s="107">
        <v>20</v>
      </c>
      <c r="E13" s="108">
        <f t="shared" si="0"/>
        <v>211.68</v>
      </c>
      <c r="F13" s="2"/>
      <c r="G13" s="2"/>
      <c r="H13" s="2"/>
      <c r="I13" s="2"/>
      <c r="J13" s="2"/>
      <c r="K13" s="2"/>
      <c r="L13" s="2"/>
    </row>
    <row r="14" spans="1:13" ht="27.75" customHeight="1" thickBot="1" x14ac:dyDescent="0.25">
      <c r="A14" s="114" t="s">
        <v>27</v>
      </c>
      <c r="B14" s="109">
        <v>0.2</v>
      </c>
      <c r="C14" s="110">
        <f>C15*B14/100</f>
        <v>705.6</v>
      </c>
      <c r="D14" s="111">
        <v>12</v>
      </c>
      <c r="E14" s="108">
        <f>C14*D14/100</f>
        <v>84.672000000000011</v>
      </c>
      <c r="F14" s="2"/>
      <c r="G14" s="2"/>
      <c r="H14" s="2"/>
      <c r="I14" s="2"/>
      <c r="J14" s="2"/>
      <c r="K14" s="2"/>
      <c r="L14" s="2"/>
    </row>
    <row r="15" spans="1:13" ht="20.25" customHeight="1" thickBot="1" x14ac:dyDescent="0.25">
      <c r="A15" s="115" t="s">
        <v>16</v>
      </c>
      <c r="B15" s="100">
        <f>SUM(B6:B14)</f>
        <v>100</v>
      </c>
      <c r="C15" s="100">
        <f>B17*B19</f>
        <v>352800</v>
      </c>
      <c r="D15" s="100" t="s">
        <v>110</v>
      </c>
      <c r="E15" s="108">
        <f xml:space="preserve"> SUM(E6:E14)</f>
        <v>34708.464</v>
      </c>
      <c r="F15" s="2"/>
      <c r="G15" s="2"/>
      <c r="H15" s="2"/>
      <c r="I15" s="2"/>
      <c r="J15" s="2"/>
      <c r="K15" s="2"/>
      <c r="L15" s="2"/>
    </row>
    <row r="16" spans="1:13" x14ac:dyDescent="0.2">
      <c r="A16" s="2"/>
      <c r="B16" s="2"/>
      <c r="C16" s="9"/>
      <c r="D16" s="9"/>
      <c r="E16" s="34"/>
      <c r="F16" s="2"/>
      <c r="G16" s="2"/>
      <c r="H16" s="2"/>
      <c r="I16" s="2"/>
      <c r="J16" s="2"/>
      <c r="K16" s="2"/>
      <c r="L16" s="2"/>
    </row>
    <row r="17" spans="1:4" x14ac:dyDescent="0.2">
      <c r="A17" s="6" t="s">
        <v>82</v>
      </c>
      <c r="B17" s="7">
        <f>44800*1.5</f>
        <v>67200</v>
      </c>
    </row>
    <row r="18" spans="1:4" ht="12.75" customHeight="1" x14ac:dyDescent="0.2">
      <c r="A18" s="6" t="s">
        <v>28</v>
      </c>
      <c r="B18" s="242">
        <f>B19*Лист2!C16/2</f>
        <v>27.5625</v>
      </c>
      <c r="C18" s="242"/>
      <c r="D18" s="7"/>
    </row>
    <row r="19" spans="1:4" x14ac:dyDescent="0.2">
      <c r="A19" s="6" t="s">
        <v>57</v>
      </c>
      <c r="B19" s="195">
        <f>Лист2!C16/2</f>
        <v>5.25</v>
      </c>
      <c r="C19" s="8"/>
      <c r="D19" s="8"/>
    </row>
    <row r="20" spans="1:4" x14ac:dyDescent="0.2">
      <c r="B20" s="8"/>
    </row>
  </sheetData>
  <mergeCells count="2">
    <mergeCell ref="A2:E2"/>
    <mergeCell ref="B18:C18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O91"/>
  <sheetViews>
    <sheetView zoomScaleNormal="100" workbookViewId="0">
      <selection activeCell="B90" sqref="B90"/>
    </sheetView>
  </sheetViews>
  <sheetFormatPr defaultRowHeight="12.75" x14ac:dyDescent="0.2"/>
  <cols>
    <col min="1" max="1" width="35.85546875" customWidth="1"/>
    <col min="2" max="2" width="16.7109375" customWidth="1"/>
    <col min="3" max="3" width="14.7109375" customWidth="1"/>
    <col min="4" max="4" width="17.7109375" customWidth="1"/>
    <col min="5" max="6" width="10.5703125" customWidth="1"/>
    <col min="7" max="7" width="14.140625" customWidth="1"/>
    <col min="8" max="9" width="15.5703125" customWidth="1"/>
    <col min="10" max="11" width="12.28515625" customWidth="1"/>
    <col min="12" max="12" width="11" hidden="1" customWidth="1"/>
    <col min="13" max="13" width="9.28515625" hidden="1" customWidth="1"/>
    <col min="14" max="14" width="10.140625" hidden="1" customWidth="1"/>
    <col min="15" max="15" width="18.28515625" customWidth="1"/>
    <col min="16" max="18" width="17.85546875" customWidth="1"/>
    <col min="19" max="19" width="11.42578125" customWidth="1"/>
    <col min="20" max="21" width="10.5703125" customWidth="1"/>
    <col min="22" max="22" width="13.140625" customWidth="1"/>
    <col min="23" max="23" width="19.7109375" customWidth="1"/>
  </cols>
  <sheetData>
    <row r="4" spans="1:7" x14ac:dyDescent="0.2">
      <c r="A4" s="249" t="s">
        <v>91</v>
      </c>
      <c r="B4" s="249"/>
      <c r="C4" s="249"/>
      <c r="D4" s="249"/>
      <c r="E4" s="11"/>
      <c r="F4" s="11"/>
      <c r="G4" s="11"/>
    </row>
    <row r="5" spans="1:7" ht="30" customHeight="1" x14ac:dyDescent="0.2">
      <c r="A5" s="218" t="s">
        <v>29</v>
      </c>
      <c r="B5" s="218" t="s">
        <v>84</v>
      </c>
      <c r="C5" s="254" t="s">
        <v>72</v>
      </c>
    </row>
    <row r="6" spans="1:7" ht="22.5" customHeight="1" x14ac:dyDescent="0.2">
      <c r="A6" s="218"/>
      <c r="B6" s="218"/>
      <c r="C6" s="254"/>
    </row>
    <row r="7" spans="1:7" ht="13.5" thickBot="1" x14ac:dyDescent="0.25">
      <c r="A7" s="136">
        <v>1</v>
      </c>
      <c r="B7" s="137">
        <v>2</v>
      </c>
      <c r="C7" s="138">
        <v>3</v>
      </c>
      <c r="E7" s="5" t="s">
        <v>8</v>
      </c>
      <c r="F7" s="5"/>
    </row>
    <row r="8" spans="1:7" ht="25.5" x14ac:dyDescent="0.2">
      <c r="A8" s="139" t="s">
        <v>130</v>
      </c>
      <c r="B8" s="140">
        <f>Лист2!H133</f>
        <v>216082.47500000001</v>
      </c>
      <c r="C8" s="141">
        <f>B8*100/B17</f>
        <v>58.313384312180467</v>
      </c>
      <c r="E8" s="11"/>
      <c r="F8" s="11"/>
    </row>
    <row r="9" spans="1:7" ht="18.75" customHeight="1" x14ac:dyDescent="0.2">
      <c r="A9" s="142" t="s">
        <v>30</v>
      </c>
      <c r="B9" s="44">
        <f>B8*0.1</f>
        <v>21608.247500000001</v>
      </c>
      <c r="C9" s="141">
        <f>B9*100/B17</f>
        <v>5.8313384312180467</v>
      </c>
      <c r="E9" s="35">
        <v>10</v>
      </c>
      <c r="F9" s="35"/>
    </row>
    <row r="10" spans="1:7" ht="21" customHeight="1" x14ac:dyDescent="0.2">
      <c r="A10" s="142" t="s">
        <v>31</v>
      </c>
      <c r="B10" s="44">
        <f>B8*0.1</f>
        <v>21608.247500000001</v>
      </c>
      <c r="C10" s="141">
        <f>B10*100/B17</f>
        <v>5.8313384312180467</v>
      </c>
      <c r="E10" s="35">
        <v>10</v>
      </c>
      <c r="F10" s="35"/>
    </row>
    <row r="11" spans="1:7" ht="25.5" x14ac:dyDescent="0.2">
      <c r="A11" s="143" t="s">
        <v>68</v>
      </c>
      <c r="B11" s="44">
        <f>B8*0.2</f>
        <v>43216.495000000003</v>
      </c>
      <c r="C11" s="141">
        <f>B11*100/B17</f>
        <v>11.662676862436093</v>
      </c>
      <c r="E11" s="35">
        <v>20</v>
      </c>
      <c r="F11" s="35"/>
    </row>
    <row r="12" spans="1:7" ht="25.5" x14ac:dyDescent="0.2">
      <c r="A12" s="143" t="s">
        <v>71</v>
      </c>
      <c r="B12" s="44">
        <f>B11*E12/100</f>
        <v>13051.38149</v>
      </c>
      <c r="C12" s="141">
        <f>B12*C17/B17</f>
        <v>3.5221284124556993</v>
      </c>
      <c r="E12" s="35">
        <v>30.2</v>
      </c>
      <c r="F12" s="35"/>
    </row>
    <row r="13" spans="1:7" ht="18.75" customHeight="1" x14ac:dyDescent="0.2">
      <c r="A13" s="143" t="s">
        <v>32</v>
      </c>
      <c r="B13" s="44">
        <f>Лист3!E15</f>
        <v>34708.464</v>
      </c>
      <c r="C13" s="141">
        <f>B13*100/B17</f>
        <v>9.3666457685542532</v>
      </c>
      <c r="E13" s="35"/>
      <c r="F13" s="35"/>
    </row>
    <row r="14" spans="1:7" ht="21.75" customHeight="1" x14ac:dyDescent="0.2">
      <c r="A14" s="143" t="s">
        <v>33</v>
      </c>
      <c r="B14" s="44">
        <f>B11*E14/100</f>
        <v>4321.6495000000004</v>
      </c>
      <c r="C14" s="141">
        <f>B14*100/B17</f>
        <v>1.1662676862436094</v>
      </c>
      <c r="E14" s="35">
        <v>10</v>
      </c>
      <c r="F14" s="35"/>
    </row>
    <row r="15" spans="1:7" ht="25.5" x14ac:dyDescent="0.2">
      <c r="A15" s="143" t="s">
        <v>76</v>
      </c>
      <c r="B15" s="44">
        <f>SUM(B8:B14)</f>
        <v>354596.95999</v>
      </c>
      <c r="C15" s="141">
        <f>B15*100/B17</f>
        <v>95.693779904306211</v>
      </c>
      <c r="E15" s="11"/>
      <c r="F15" s="11"/>
    </row>
    <row r="16" spans="1:7" x14ac:dyDescent="0.2">
      <c r="A16" s="143" t="s">
        <v>34</v>
      </c>
      <c r="B16" s="44">
        <f>B15*E16/100</f>
        <v>15956.86319955</v>
      </c>
      <c r="C16" s="141">
        <f>B16*100/B17</f>
        <v>4.3062200956937797</v>
      </c>
      <c r="E16" s="35">
        <v>4.5</v>
      </c>
      <c r="F16" s="35"/>
    </row>
    <row r="17" spans="1:15" ht="26.25" thickBot="1" x14ac:dyDescent="0.25">
      <c r="A17" s="144" t="s">
        <v>69</v>
      </c>
      <c r="B17" s="145">
        <f>SUM(B15:B16)</f>
        <v>370553.82318955002</v>
      </c>
      <c r="C17" s="146">
        <f>SUM(C15:C16)</f>
        <v>99.999999999999986</v>
      </c>
      <c r="E17" s="11"/>
      <c r="F17" s="11"/>
    </row>
    <row r="18" spans="1:15" x14ac:dyDescent="0.2">
      <c r="D18" s="20">
        <f>C8+C9+C10+C11+C12+C13+C14+C16</f>
        <v>100</v>
      </c>
    </row>
    <row r="20" spans="1:15" ht="25.5" customHeight="1" x14ac:dyDescent="0.2">
      <c r="A20" s="251" t="s">
        <v>92</v>
      </c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</row>
    <row r="21" spans="1:1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5" x14ac:dyDescent="0.2">
      <c r="A22" s="250" t="s">
        <v>70</v>
      </c>
      <c r="B22" s="252" t="s">
        <v>36</v>
      </c>
      <c r="C22" s="252"/>
      <c r="D22" s="252"/>
      <c r="E22" s="252"/>
      <c r="F22" s="252"/>
      <c r="G22" s="252"/>
      <c r="H22" s="252"/>
      <c r="I22" s="252"/>
      <c r="J22" s="252"/>
      <c r="K22" s="252"/>
      <c r="L22" s="253"/>
      <c r="M22" s="253"/>
      <c r="N22" s="253"/>
      <c r="O22" s="5"/>
    </row>
    <row r="23" spans="1:15" ht="39.75" customHeight="1" x14ac:dyDescent="0.2">
      <c r="A23" s="250"/>
      <c r="B23" s="67" t="str">
        <f>Лист2!B23</f>
        <v>Пастила «Двухслойная»</v>
      </c>
      <c r="C23" s="67" t="str">
        <f>Лист2!B8</f>
        <v>Пастила «Малиновая»</v>
      </c>
      <c r="D23" s="67" t="str">
        <f>Лист2!B45</f>
        <v>Пастила «Клюквенная»</v>
      </c>
      <c r="E23" s="67" t="str">
        <f>Лист2!B59</f>
        <v>Зефир «Сливочный»</v>
      </c>
      <c r="F23" s="67" t="str">
        <f>Лист2!B11</f>
        <v>Зефир «Киевский»</v>
      </c>
      <c r="G23" s="67" t="str">
        <f>Лист2!B12</f>
        <v>Зефир «Десертный»</v>
      </c>
      <c r="H23" s="67" t="str">
        <f>Лист2!B99</f>
        <v>Зефир «В шоколаде»</v>
      </c>
      <c r="I23" s="67" t="str">
        <f>Лист2!B14</f>
        <v>Зефир «Яблочный»</v>
      </c>
      <c r="J23" s="67" t="str">
        <f>Лист2!B15</f>
        <v>Зефир «Маршмеллоу»</v>
      </c>
      <c r="L23" s="58" t="s">
        <v>129</v>
      </c>
      <c r="M23" s="58">
        <f>(B11*Лист2!E7/Лист2!E16)/Лист2!E7</f>
        <v>16.463426666666667</v>
      </c>
    </row>
    <row r="24" spans="1:15" ht="22.5" x14ac:dyDescent="0.2">
      <c r="A24" s="36" t="s">
        <v>67</v>
      </c>
      <c r="B24" s="147">
        <f>Лист2!F33</f>
        <v>70.728999999999999</v>
      </c>
      <c r="C24" s="147">
        <f>Лист2!F44</f>
        <v>74.546499999999995</v>
      </c>
      <c r="D24" s="147">
        <f>Лист2!F58</f>
        <v>95.704999999999998</v>
      </c>
      <c r="E24" s="147">
        <f>(Лист2!H73)/Лист2!C59</f>
        <v>67.162499999999994</v>
      </c>
      <c r="F24" s="147">
        <f>Лист2!F86</f>
        <v>93.053999999999988</v>
      </c>
      <c r="G24" s="147">
        <f>Лист2!F98</f>
        <v>106.9687142857143</v>
      </c>
      <c r="H24" s="147">
        <f>(Лист2!H110)/Лист2!C99</f>
        <v>101.14449999999999</v>
      </c>
      <c r="I24" s="147">
        <f>Лист2!F121</f>
        <v>68.964500000000001</v>
      </c>
      <c r="J24" s="147">
        <f>Лист2!F131</f>
        <v>64.1755</v>
      </c>
    </row>
    <row r="25" spans="1:15" ht="11.25" customHeight="1" x14ac:dyDescent="0.2">
      <c r="A25" s="36" t="s">
        <v>58</v>
      </c>
      <c r="B25" s="148">
        <f t="shared" ref="B25:J25" si="0">B24*0.1</f>
        <v>7.0729000000000006</v>
      </c>
      <c r="C25" s="148">
        <f t="shared" si="0"/>
        <v>7.45465</v>
      </c>
      <c r="D25" s="148">
        <f t="shared" si="0"/>
        <v>9.5705000000000009</v>
      </c>
      <c r="E25" s="148">
        <f t="shared" si="0"/>
        <v>6.7162499999999996</v>
      </c>
      <c r="F25" s="148">
        <f t="shared" si="0"/>
        <v>9.3053999999999988</v>
      </c>
      <c r="G25" s="148">
        <f t="shared" si="0"/>
        <v>10.696871428571431</v>
      </c>
      <c r="H25" s="148">
        <f t="shared" si="0"/>
        <v>10.11445</v>
      </c>
      <c r="I25" s="148">
        <f t="shared" si="0"/>
        <v>6.8964500000000006</v>
      </c>
      <c r="J25" s="148">
        <f t="shared" si="0"/>
        <v>6.4175500000000003</v>
      </c>
      <c r="K25" s="5">
        <v>10</v>
      </c>
    </row>
    <row r="26" spans="1:15" ht="19.5" customHeight="1" x14ac:dyDescent="0.2">
      <c r="A26" s="36" t="s">
        <v>38</v>
      </c>
      <c r="B26" s="147">
        <f t="shared" ref="B26:J26" si="1">B24*0.1</f>
        <v>7.0729000000000006</v>
      </c>
      <c r="C26" s="147">
        <f t="shared" si="1"/>
        <v>7.45465</v>
      </c>
      <c r="D26" s="147">
        <f t="shared" si="1"/>
        <v>9.5705000000000009</v>
      </c>
      <c r="E26" s="147">
        <f t="shared" si="1"/>
        <v>6.7162499999999996</v>
      </c>
      <c r="F26" s="147">
        <f t="shared" si="1"/>
        <v>9.3053999999999988</v>
      </c>
      <c r="G26" s="147">
        <f t="shared" si="1"/>
        <v>10.696871428571431</v>
      </c>
      <c r="H26" s="147">
        <f t="shared" si="1"/>
        <v>10.11445</v>
      </c>
      <c r="I26" s="147">
        <f t="shared" si="1"/>
        <v>6.8964500000000006</v>
      </c>
      <c r="J26" s="147">
        <f t="shared" si="1"/>
        <v>6.4175500000000003</v>
      </c>
      <c r="K26" s="5">
        <v>10</v>
      </c>
    </row>
    <row r="27" spans="1:15" ht="22.5" x14ac:dyDescent="0.2">
      <c r="A27" s="36" t="s">
        <v>65</v>
      </c>
      <c r="B27" s="147">
        <f t="shared" ref="B27:J27" si="2">B24*0.2</f>
        <v>14.145800000000001</v>
      </c>
      <c r="C27" s="147">
        <f t="shared" si="2"/>
        <v>14.9093</v>
      </c>
      <c r="D27" s="147">
        <f t="shared" si="2"/>
        <v>19.141000000000002</v>
      </c>
      <c r="E27" s="147">
        <f t="shared" si="2"/>
        <v>13.432499999999999</v>
      </c>
      <c r="F27" s="147">
        <f t="shared" si="2"/>
        <v>18.610799999999998</v>
      </c>
      <c r="G27" s="147">
        <f t="shared" si="2"/>
        <v>21.393742857142861</v>
      </c>
      <c r="H27" s="147">
        <f t="shared" si="2"/>
        <v>20.228899999999999</v>
      </c>
      <c r="I27" s="147">
        <f t="shared" si="2"/>
        <v>13.792900000000001</v>
      </c>
      <c r="J27" s="147">
        <f t="shared" si="2"/>
        <v>12.835100000000001</v>
      </c>
      <c r="K27" s="5">
        <v>20</v>
      </c>
    </row>
    <row r="28" spans="1:15" ht="17.25" customHeight="1" x14ac:dyDescent="0.2">
      <c r="A28" s="36" t="s">
        <v>146</v>
      </c>
      <c r="B28" s="147">
        <f>B27*30.2/100</f>
        <v>4.2720316</v>
      </c>
      <c r="C28" s="147">
        <f t="shared" ref="C28:J28" si="3">C27*30.2/100</f>
        <v>4.5026085999999994</v>
      </c>
      <c r="D28" s="147">
        <f t="shared" si="3"/>
        <v>5.7805820000000008</v>
      </c>
      <c r="E28" s="147">
        <f t="shared" si="3"/>
        <v>4.0566149999999999</v>
      </c>
      <c r="F28" s="147">
        <f t="shared" si="3"/>
        <v>5.6204615999999987</v>
      </c>
      <c r="G28" s="147">
        <f t="shared" si="3"/>
        <v>6.4609103428571437</v>
      </c>
      <c r="H28" s="147">
        <f t="shared" si="3"/>
        <v>6.1091277999999996</v>
      </c>
      <c r="I28" s="147">
        <f t="shared" si="3"/>
        <v>4.1654558000000002</v>
      </c>
      <c r="J28" s="147">
        <f t="shared" si="3"/>
        <v>3.8762002</v>
      </c>
      <c r="K28" s="5">
        <v>30.2</v>
      </c>
    </row>
    <row r="29" spans="1:15" x14ac:dyDescent="0.2">
      <c r="A29" s="36" t="s">
        <v>40</v>
      </c>
      <c r="B29" s="147">
        <f t="shared" ref="B29:J29" si="4">B24*5/100</f>
        <v>3.5364499999999999</v>
      </c>
      <c r="C29" s="147">
        <f t="shared" si="4"/>
        <v>3.7273249999999996</v>
      </c>
      <c r="D29" s="147">
        <f t="shared" si="4"/>
        <v>4.7852499999999996</v>
      </c>
      <c r="E29" s="147">
        <f t="shared" si="4"/>
        <v>3.3581249999999998</v>
      </c>
      <c r="F29" s="147">
        <f t="shared" si="4"/>
        <v>4.6526999999999994</v>
      </c>
      <c r="G29" s="147">
        <f t="shared" si="4"/>
        <v>5.3484357142857153</v>
      </c>
      <c r="H29" s="147">
        <f t="shared" si="4"/>
        <v>5.0572249999999999</v>
      </c>
      <c r="I29" s="147">
        <f t="shared" si="4"/>
        <v>3.4482249999999999</v>
      </c>
      <c r="J29" s="147">
        <f t="shared" si="4"/>
        <v>3.2087750000000002</v>
      </c>
      <c r="K29" s="5">
        <v>5</v>
      </c>
    </row>
    <row r="30" spans="1:15" ht="16.5" customHeight="1" x14ac:dyDescent="0.2">
      <c r="A30" s="36" t="s">
        <v>41</v>
      </c>
      <c r="B30" s="147">
        <f t="shared" ref="B30:J30" si="5">B24*5/100</f>
        <v>3.5364499999999999</v>
      </c>
      <c r="C30" s="147">
        <f t="shared" si="5"/>
        <v>3.7273249999999996</v>
      </c>
      <c r="D30" s="147">
        <f t="shared" si="5"/>
        <v>4.7852499999999996</v>
      </c>
      <c r="E30" s="147">
        <f t="shared" si="5"/>
        <v>3.3581249999999998</v>
      </c>
      <c r="F30" s="147">
        <f t="shared" si="5"/>
        <v>4.6526999999999994</v>
      </c>
      <c r="G30" s="147">
        <f t="shared" si="5"/>
        <v>5.3484357142857153</v>
      </c>
      <c r="H30" s="147">
        <f t="shared" si="5"/>
        <v>5.0572249999999999</v>
      </c>
      <c r="I30" s="147">
        <f t="shared" si="5"/>
        <v>3.4482249999999999</v>
      </c>
      <c r="J30" s="147">
        <f t="shared" si="5"/>
        <v>3.2087750000000002</v>
      </c>
      <c r="K30" s="5">
        <v>5</v>
      </c>
    </row>
    <row r="31" spans="1:15" ht="17.25" customHeight="1" x14ac:dyDescent="0.2">
      <c r="A31" s="36" t="s">
        <v>138</v>
      </c>
      <c r="B31" s="147">
        <f t="shared" ref="B31:J31" si="6">SUM(B24:B30)</f>
        <v>110.36553160000001</v>
      </c>
      <c r="C31" s="147">
        <f t="shared" si="6"/>
        <v>116.32235859999999</v>
      </c>
      <c r="D31" s="147">
        <f t="shared" si="6"/>
        <v>149.33808199999999</v>
      </c>
      <c r="E31" s="147">
        <f t="shared" si="6"/>
        <v>104.800365</v>
      </c>
      <c r="F31" s="147">
        <f t="shared" si="6"/>
        <v>145.20146160000002</v>
      </c>
      <c r="G31" s="147">
        <f t="shared" si="6"/>
        <v>166.91398177142861</v>
      </c>
      <c r="H31" s="147">
        <f t="shared" si="6"/>
        <v>157.8258778</v>
      </c>
      <c r="I31" s="147">
        <f t="shared" si="6"/>
        <v>107.6122058</v>
      </c>
      <c r="J31" s="147">
        <f t="shared" si="6"/>
        <v>100.13945020000001</v>
      </c>
      <c r="K31" s="5"/>
    </row>
    <row r="32" spans="1:15" ht="17.25" customHeight="1" x14ac:dyDescent="0.2">
      <c r="A32" s="36" t="s">
        <v>43</v>
      </c>
      <c r="B32" s="147">
        <f>B31*0.77/100</f>
        <v>0.84981459332000009</v>
      </c>
      <c r="C32" s="147">
        <f t="shared" ref="C32:J32" si="7">C31*0.77/100</f>
        <v>0.89568216121999999</v>
      </c>
      <c r="D32" s="147">
        <f t="shared" si="7"/>
        <v>1.1499032313999999</v>
      </c>
      <c r="E32" s="147">
        <f t="shared" si="7"/>
        <v>0.80696281049999996</v>
      </c>
      <c r="F32" s="147">
        <f t="shared" si="7"/>
        <v>1.1180512543200001</v>
      </c>
      <c r="G32" s="147">
        <f t="shared" si="7"/>
        <v>1.2852376596400004</v>
      </c>
      <c r="H32" s="147">
        <f t="shared" si="7"/>
        <v>1.21525925906</v>
      </c>
      <c r="I32" s="147">
        <f t="shared" si="7"/>
        <v>0.82861398466000002</v>
      </c>
      <c r="J32" s="147">
        <f t="shared" si="7"/>
        <v>0.77107376654000004</v>
      </c>
      <c r="K32" s="5">
        <v>0.77</v>
      </c>
    </row>
    <row r="33" spans="1:14" ht="17.25" customHeight="1" x14ac:dyDescent="0.2">
      <c r="A33" s="36" t="s">
        <v>66</v>
      </c>
      <c r="B33" s="147">
        <f>B32+B31</f>
        <v>111.21534619332002</v>
      </c>
      <c r="C33" s="147">
        <f t="shared" ref="C33:J33" si="8">C32+C31</f>
        <v>117.21804076121998</v>
      </c>
      <c r="D33" s="147">
        <f t="shared" si="8"/>
        <v>150.48798523139999</v>
      </c>
      <c r="E33" s="147">
        <f t="shared" si="8"/>
        <v>105.6073278105</v>
      </c>
      <c r="F33" s="147">
        <f t="shared" si="8"/>
        <v>146.31951285432001</v>
      </c>
      <c r="G33" s="147">
        <f t="shared" si="8"/>
        <v>168.1992194310686</v>
      </c>
      <c r="H33" s="147">
        <f t="shared" si="8"/>
        <v>159.04113705905999</v>
      </c>
      <c r="I33" s="147">
        <f t="shared" si="8"/>
        <v>108.44081978465999</v>
      </c>
      <c r="J33" s="147">
        <f t="shared" si="8"/>
        <v>100.91052396654001</v>
      </c>
    </row>
    <row r="34" spans="1:14" ht="17.25" customHeight="1" x14ac:dyDescent="0.2">
      <c r="A34" s="36" t="s">
        <v>44</v>
      </c>
      <c r="B34" s="147">
        <v>20</v>
      </c>
      <c r="C34" s="147">
        <v>20</v>
      </c>
      <c r="D34" s="147">
        <v>20</v>
      </c>
      <c r="E34" s="147">
        <v>20</v>
      </c>
      <c r="F34" s="147">
        <v>20</v>
      </c>
      <c r="G34" s="147">
        <v>20</v>
      </c>
      <c r="H34" s="147">
        <v>20</v>
      </c>
      <c r="I34" s="147">
        <v>20</v>
      </c>
      <c r="J34" s="147">
        <v>20</v>
      </c>
    </row>
    <row r="35" spans="1:14" ht="18" customHeight="1" x14ac:dyDescent="0.2">
      <c r="A35" s="36" t="s">
        <v>45</v>
      </c>
      <c r="B35" s="147">
        <f>B34*B33/100</f>
        <v>22.243069238664003</v>
      </c>
      <c r="C35" s="147">
        <f t="shared" ref="C35:J35" si="9">C34*C33/100</f>
        <v>23.443608152243996</v>
      </c>
      <c r="D35" s="147">
        <f t="shared" si="9"/>
        <v>30.097597046279997</v>
      </c>
      <c r="E35" s="147">
        <f t="shared" si="9"/>
        <v>21.121465562099999</v>
      </c>
      <c r="F35" s="147">
        <f t="shared" si="9"/>
        <v>29.263902570864001</v>
      </c>
      <c r="G35" s="147">
        <f t="shared" si="9"/>
        <v>33.639843886213718</v>
      </c>
      <c r="H35" s="147">
        <f t="shared" si="9"/>
        <v>31.808227411811998</v>
      </c>
      <c r="I35" s="147">
        <f t="shared" si="9"/>
        <v>21.688163956931998</v>
      </c>
      <c r="J35" s="147">
        <f t="shared" si="9"/>
        <v>20.182104793308003</v>
      </c>
    </row>
    <row r="36" spans="1:14" ht="16.5" customHeight="1" x14ac:dyDescent="0.2">
      <c r="A36" s="36" t="s">
        <v>46</v>
      </c>
      <c r="B36" s="147">
        <f t="shared" ref="B36:J36" si="10">B33+B35</f>
        <v>133.45841543198401</v>
      </c>
      <c r="C36" s="147">
        <f t="shared" si="10"/>
        <v>140.66164891346398</v>
      </c>
      <c r="D36" s="147">
        <f t="shared" si="10"/>
        <v>180.58558227767998</v>
      </c>
      <c r="E36" s="147">
        <f t="shared" si="10"/>
        <v>126.72879337259999</v>
      </c>
      <c r="F36" s="147">
        <f t="shared" si="10"/>
        <v>175.583415425184</v>
      </c>
      <c r="G36" s="147">
        <f t="shared" si="10"/>
        <v>201.83906331728232</v>
      </c>
      <c r="H36" s="147">
        <f t="shared" si="10"/>
        <v>190.84936447087199</v>
      </c>
      <c r="I36" s="147">
        <f t="shared" si="10"/>
        <v>130.12898374159198</v>
      </c>
      <c r="J36" s="147">
        <f t="shared" si="10"/>
        <v>121.09262875984801</v>
      </c>
    </row>
    <row r="37" spans="1:14" ht="17.25" customHeight="1" x14ac:dyDescent="0.2">
      <c r="A37" s="36" t="s">
        <v>47</v>
      </c>
      <c r="B37" s="147">
        <f>B36*18/100</f>
        <v>24.022514777757124</v>
      </c>
      <c r="C37" s="147">
        <f t="shared" ref="C37:J37" si="11">C36*18/100</f>
        <v>25.319096804423516</v>
      </c>
      <c r="D37" s="147">
        <f t="shared" si="11"/>
        <v>32.505404809982394</v>
      </c>
      <c r="E37" s="147">
        <f t="shared" si="11"/>
        <v>22.811182807067997</v>
      </c>
      <c r="F37" s="147">
        <f t="shared" si="11"/>
        <v>31.605014776533121</v>
      </c>
      <c r="G37" s="147">
        <f t="shared" si="11"/>
        <v>36.33103139711082</v>
      </c>
      <c r="H37" s="147">
        <f t="shared" si="11"/>
        <v>34.352885604756956</v>
      </c>
      <c r="I37" s="147">
        <f t="shared" si="11"/>
        <v>23.423217073486558</v>
      </c>
      <c r="J37" s="147">
        <f t="shared" si="11"/>
        <v>21.796673176772643</v>
      </c>
      <c r="K37" s="119">
        <v>18</v>
      </c>
    </row>
    <row r="38" spans="1:14" ht="19.5" customHeight="1" x14ac:dyDescent="0.2">
      <c r="A38" s="36" t="s">
        <v>48</v>
      </c>
      <c r="B38" s="147">
        <f t="shared" ref="B38:J38" si="12">B36+B37</f>
        <v>157.48093020974113</v>
      </c>
      <c r="C38" s="147">
        <f t="shared" si="12"/>
        <v>165.98074571788749</v>
      </c>
      <c r="D38" s="147">
        <f t="shared" si="12"/>
        <v>213.09098708766237</v>
      </c>
      <c r="E38" s="147">
        <f t="shared" si="12"/>
        <v>149.539976179668</v>
      </c>
      <c r="F38" s="147">
        <f t="shared" si="12"/>
        <v>207.18843020171713</v>
      </c>
      <c r="G38" s="147">
        <f t="shared" si="12"/>
        <v>238.17009471439314</v>
      </c>
      <c r="H38" s="147">
        <f t="shared" si="12"/>
        <v>225.20225007562894</v>
      </c>
      <c r="I38" s="147">
        <f t="shared" si="12"/>
        <v>153.55220081507855</v>
      </c>
      <c r="J38" s="147">
        <f t="shared" si="12"/>
        <v>142.88930193662065</v>
      </c>
    </row>
    <row r="39" spans="1:14" x14ac:dyDescent="0.2">
      <c r="A39" s="116" t="s">
        <v>83</v>
      </c>
      <c r="B39" s="117">
        <f>Лист2!E7</f>
        <v>250</v>
      </c>
      <c r="C39" s="117">
        <f>Лист2!E8</f>
        <v>125</v>
      </c>
      <c r="D39" s="117">
        <f>Лист2!E9</f>
        <v>125</v>
      </c>
      <c r="E39" s="117">
        <f>Лист2!E10</f>
        <v>350</v>
      </c>
      <c r="F39" s="117">
        <f>Лист2!E11</f>
        <v>350</v>
      </c>
      <c r="G39" s="117">
        <f>Лист2!E12</f>
        <v>350</v>
      </c>
      <c r="H39" s="117">
        <f>Лист2!E13</f>
        <v>350</v>
      </c>
      <c r="I39" s="117">
        <f>Лист2!E14</f>
        <v>350</v>
      </c>
      <c r="J39" s="117">
        <f>Лист2!E15</f>
        <v>375</v>
      </c>
    </row>
    <row r="40" spans="1:14" x14ac:dyDescent="0.2">
      <c r="A40" s="40" t="s">
        <v>94</v>
      </c>
      <c r="B40" s="39">
        <f t="shared" ref="B40:J40" si="13">B39*B38</f>
        <v>39370.232552435285</v>
      </c>
      <c r="C40" s="39">
        <f t="shared" si="13"/>
        <v>20747.593214735934</v>
      </c>
      <c r="D40" s="39">
        <f t="shared" si="13"/>
        <v>26636.373385957795</v>
      </c>
      <c r="E40" s="39">
        <f t="shared" si="13"/>
        <v>52338.991662883804</v>
      </c>
      <c r="F40" s="39">
        <f t="shared" si="13"/>
        <v>72515.950570600995</v>
      </c>
      <c r="G40" s="39">
        <f t="shared" si="13"/>
        <v>83359.533150037605</v>
      </c>
      <c r="H40" s="39">
        <f t="shared" si="13"/>
        <v>78820.787526470129</v>
      </c>
      <c r="I40" s="39">
        <f t="shared" si="13"/>
        <v>53743.270285277489</v>
      </c>
      <c r="J40" s="39">
        <f t="shared" si="13"/>
        <v>53583.488226232745</v>
      </c>
      <c r="K40" s="20">
        <f>SUM(K65)</f>
        <v>481116.22057463188</v>
      </c>
    </row>
    <row r="41" spans="1:14" hidden="1" x14ac:dyDescent="0.2">
      <c r="A41" s="246" t="s">
        <v>49</v>
      </c>
      <c r="B41" s="246"/>
      <c r="C41" s="246"/>
      <c r="D41" s="246"/>
      <c r="E41" s="246"/>
      <c r="F41" s="246"/>
      <c r="G41" s="246"/>
      <c r="H41" s="246"/>
      <c r="I41" s="41"/>
      <c r="J41" s="41"/>
      <c r="K41" s="41"/>
      <c r="L41" s="41"/>
      <c r="M41" s="41"/>
      <c r="N41" s="41"/>
    </row>
    <row r="42" spans="1:14" hidden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1:14" hidden="1" x14ac:dyDescent="0.2">
      <c r="A43" s="247" t="s">
        <v>35</v>
      </c>
      <c r="B43" s="247" t="s">
        <v>36</v>
      </c>
      <c r="C43" s="247"/>
      <c r="D43" s="247"/>
      <c r="E43" s="247"/>
      <c r="F43" s="247"/>
      <c r="G43" s="247"/>
      <c r="H43" s="247"/>
      <c r="I43" s="247"/>
      <c r="J43" s="247"/>
      <c r="K43" s="247"/>
      <c r="L43" s="248"/>
      <c r="M43" s="248"/>
      <c r="N43" s="248"/>
    </row>
    <row r="44" spans="1:14" ht="55.5" hidden="1" customHeight="1" thickBot="1" x14ac:dyDescent="0.25">
      <c r="A44" s="247"/>
      <c r="B44" s="40" t="str">
        <f>B23</f>
        <v>Пастила «Двухслойная»</v>
      </c>
      <c r="C44" s="40"/>
      <c r="D44" s="40" t="str">
        <f>D23</f>
        <v>Пастила «Клюквенная»</v>
      </c>
      <c r="E44" s="40" t="str">
        <f>E23</f>
        <v>Зефир «Сливочный»</v>
      </c>
      <c r="F44" s="40"/>
      <c r="G44" s="40" t="str">
        <f>G23</f>
        <v>Зефир «Десертный»</v>
      </c>
      <c r="H44" s="40" t="str">
        <f>H23</f>
        <v>Зефир «В шоколаде»</v>
      </c>
      <c r="I44" s="40"/>
      <c r="J44" s="40"/>
      <c r="K44" s="40"/>
      <c r="L44" s="40" t="s">
        <v>62</v>
      </c>
      <c r="M44" s="40"/>
      <c r="N44" s="40" t="s">
        <v>63</v>
      </c>
    </row>
    <row r="45" spans="1:14" hidden="1" x14ac:dyDescent="0.2">
      <c r="A45" s="37">
        <v>1</v>
      </c>
      <c r="B45" s="37">
        <v>2</v>
      </c>
      <c r="C45" s="37"/>
      <c r="D45" s="37">
        <v>3</v>
      </c>
      <c r="E45" s="37">
        <v>4</v>
      </c>
      <c r="F45" s="37"/>
      <c r="G45" s="37">
        <v>5</v>
      </c>
      <c r="H45" s="37">
        <v>6</v>
      </c>
      <c r="I45" s="37"/>
      <c r="J45" s="37"/>
      <c r="K45" s="37"/>
      <c r="L45" s="37"/>
      <c r="M45" s="37"/>
      <c r="N45" s="37"/>
    </row>
    <row r="46" spans="1:14" ht="22.5" hidden="1" x14ac:dyDescent="0.2">
      <c r="A46" s="40" t="s">
        <v>67</v>
      </c>
      <c r="B46" s="37">
        <f>B24</f>
        <v>70.728999999999999</v>
      </c>
      <c r="C46" s="37"/>
      <c r="D46" s="37">
        <f>D24</f>
        <v>95.704999999999998</v>
      </c>
      <c r="E46" s="37">
        <f>E24</f>
        <v>67.162499999999994</v>
      </c>
      <c r="F46" s="37"/>
      <c r="G46" s="37">
        <f>G24</f>
        <v>106.9687142857143</v>
      </c>
      <c r="H46" s="37">
        <f>H24</f>
        <v>101.14449999999999</v>
      </c>
      <c r="I46" s="37"/>
      <c r="J46" s="37"/>
      <c r="K46" s="37"/>
      <c r="L46" s="37" t="e">
        <f>#REF!</f>
        <v>#REF!</v>
      </c>
      <c r="M46" s="37"/>
      <c r="N46" s="37" t="e">
        <f>#REF!</f>
        <v>#REF!</v>
      </c>
    </row>
    <row r="47" spans="1:14" hidden="1" x14ac:dyDescent="0.2">
      <c r="A47" s="40" t="s">
        <v>37</v>
      </c>
      <c r="B47" s="37" t="e">
        <f>Лист2!#REF!</f>
        <v>#REF!</v>
      </c>
      <c r="C47" s="37"/>
      <c r="D47" s="37" t="e">
        <f>Лист2!#REF!</f>
        <v>#REF!</v>
      </c>
      <c r="E47" s="37" t="e">
        <f>Лист2!#REF!</f>
        <v>#REF!</v>
      </c>
      <c r="F47" s="37"/>
      <c r="G47" s="37" t="e">
        <f>Лист2!#REF!</f>
        <v>#REF!</v>
      </c>
      <c r="H47" s="37" t="e">
        <f>Лист2!#REF!</f>
        <v>#REF!</v>
      </c>
      <c r="I47" s="37"/>
      <c r="J47" s="37"/>
      <c r="K47" s="37"/>
      <c r="L47" s="37" t="e">
        <f>Лист2!#REF!</f>
        <v>#REF!</v>
      </c>
      <c r="M47" s="37"/>
      <c r="N47" s="37" t="e">
        <f>Лист2!#REF!</f>
        <v>#REF!</v>
      </c>
    </row>
    <row r="48" spans="1:14" hidden="1" x14ac:dyDescent="0.2">
      <c r="A48" s="37" t="s">
        <v>58</v>
      </c>
      <c r="B48" s="37" t="e">
        <f>Лист3!#REF!</f>
        <v>#REF!</v>
      </c>
      <c r="C48" s="37"/>
      <c r="D48" s="37" t="e">
        <f>Лист3!#REF!</f>
        <v>#REF!</v>
      </c>
      <c r="E48" s="37" t="e">
        <f>Лист3!#REF!</f>
        <v>#REF!</v>
      </c>
      <c r="F48" s="37"/>
      <c r="G48" s="37" t="e">
        <f>Лист3!#REF!</f>
        <v>#REF!</v>
      </c>
      <c r="H48" s="37" t="e">
        <f>Лист3!#REF!</f>
        <v>#REF!</v>
      </c>
      <c r="I48" s="37"/>
      <c r="J48" s="37"/>
      <c r="K48" s="37"/>
      <c r="L48" s="37" t="e">
        <f>Лист3!#REF!</f>
        <v>#REF!</v>
      </c>
      <c r="M48" s="37"/>
      <c r="N48" s="37" t="e">
        <f>Лист3!#REF!</f>
        <v>#REF!</v>
      </c>
    </row>
    <row r="49" spans="1:14" hidden="1" x14ac:dyDescent="0.2">
      <c r="A49" s="37" t="s">
        <v>38</v>
      </c>
      <c r="B49" s="37" t="e">
        <f>Лист3!#REF!</f>
        <v>#REF!</v>
      </c>
      <c r="C49" s="37"/>
      <c r="D49" s="37" t="e">
        <f>Лист3!#REF!</f>
        <v>#REF!</v>
      </c>
      <c r="E49" s="37" t="e">
        <f>Лист3!#REF!</f>
        <v>#REF!</v>
      </c>
      <c r="F49" s="37"/>
      <c r="G49" s="37" t="e">
        <f>Лист3!#REF!</f>
        <v>#REF!</v>
      </c>
      <c r="H49" s="37" t="e">
        <f>Лист3!#REF!</f>
        <v>#REF!</v>
      </c>
      <c r="I49" s="37"/>
      <c r="J49" s="37"/>
      <c r="K49" s="37"/>
      <c r="L49" s="37" t="e">
        <f>Лист3!#REF!</f>
        <v>#REF!</v>
      </c>
      <c r="M49" s="37"/>
      <c r="N49" s="37" t="e">
        <f>Лист3!#REF!</f>
        <v>#REF!</v>
      </c>
    </row>
    <row r="50" spans="1:14" ht="22.5" hidden="1" x14ac:dyDescent="0.2">
      <c r="A50" s="40" t="s">
        <v>65</v>
      </c>
      <c r="B50" s="37" t="e">
        <f>(Лист2!C7*Лист4!#REF!/Лист2!C16)</f>
        <v>#REF!</v>
      </c>
      <c r="C50" s="37"/>
      <c r="D50" s="37" t="e">
        <f>(Лист2!C9*Лист4!#REF!/Лист2!C16)</f>
        <v>#REF!</v>
      </c>
      <c r="E50" s="37" t="e">
        <f>(Лист2!C10*Лист4!#REF!/Лист2!C16)</f>
        <v>#REF!</v>
      </c>
      <c r="F50" s="37"/>
      <c r="G50" s="37" t="e">
        <f>(Лист2!#REF!*Лист4!#REF!/Лист2!C16)</f>
        <v>#REF!</v>
      </c>
      <c r="H50" s="37" t="e">
        <f>(Лист2!C15*Лист4!#REF!/Лист2!C16)</f>
        <v>#REF!</v>
      </c>
      <c r="I50" s="37"/>
      <c r="J50" s="37"/>
      <c r="K50" s="37"/>
      <c r="L50" s="37" t="e">
        <f>(Лист2!#REF!*Лист4!#REF!/Лист2!C16)</f>
        <v>#REF!</v>
      </c>
      <c r="M50" s="37"/>
      <c r="N50" s="37" t="e">
        <f>(Лист2!#REF!*Лист4!#REF!/Лист2!C16)</f>
        <v>#REF!</v>
      </c>
    </row>
    <row r="51" spans="1:14" hidden="1" x14ac:dyDescent="0.2">
      <c r="A51" s="37" t="s">
        <v>39</v>
      </c>
      <c r="B51" s="37" t="e">
        <f t="shared" ref="B51:N51" si="14">B50*37/100</f>
        <v>#REF!</v>
      </c>
      <c r="C51" s="37"/>
      <c r="D51" s="37" t="e">
        <f t="shared" si="14"/>
        <v>#REF!</v>
      </c>
      <c r="E51" s="37" t="e">
        <f t="shared" si="14"/>
        <v>#REF!</v>
      </c>
      <c r="F51" s="37"/>
      <c r="G51" s="37" t="e">
        <f t="shared" si="14"/>
        <v>#REF!</v>
      </c>
      <c r="H51" s="37" t="e">
        <f t="shared" si="14"/>
        <v>#REF!</v>
      </c>
      <c r="I51" s="37"/>
      <c r="J51" s="37"/>
      <c r="K51" s="37"/>
      <c r="L51" s="37" t="e">
        <f t="shared" si="14"/>
        <v>#REF!</v>
      </c>
      <c r="M51" s="37"/>
      <c r="N51" s="37" t="e">
        <f t="shared" si="14"/>
        <v>#REF!</v>
      </c>
    </row>
    <row r="52" spans="1:14" hidden="1" x14ac:dyDescent="0.2">
      <c r="A52" s="37" t="s">
        <v>40</v>
      </c>
      <c r="B52" s="37">
        <f t="shared" ref="B52:N52" si="15">B46*5/100</f>
        <v>3.5364499999999999</v>
      </c>
      <c r="C52" s="37"/>
      <c r="D52" s="37">
        <f t="shared" si="15"/>
        <v>4.7852499999999996</v>
      </c>
      <c r="E52" s="37">
        <f t="shared" si="15"/>
        <v>3.3581249999999998</v>
      </c>
      <c r="F52" s="37"/>
      <c r="G52" s="37">
        <f t="shared" si="15"/>
        <v>5.3484357142857153</v>
      </c>
      <c r="H52" s="37">
        <f t="shared" si="15"/>
        <v>5.0572249999999999</v>
      </c>
      <c r="I52" s="37"/>
      <c r="J52" s="37"/>
      <c r="K52" s="37"/>
      <c r="L52" s="37" t="e">
        <f t="shared" si="15"/>
        <v>#REF!</v>
      </c>
      <c r="M52" s="37"/>
      <c r="N52" s="37" t="e">
        <f t="shared" si="15"/>
        <v>#REF!</v>
      </c>
    </row>
    <row r="53" spans="1:14" hidden="1" x14ac:dyDescent="0.2">
      <c r="A53" s="37" t="s">
        <v>41</v>
      </c>
      <c r="B53" s="37">
        <f t="shared" ref="B53:N53" si="16">B46*5/100</f>
        <v>3.5364499999999999</v>
      </c>
      <c r="C53" s="37"/>
      <c r="D53" s="37">
        <f t="shared" si="16"/>
        <v>4.7852499999999996</v>
      </c>
      <c r="E53" s="37">
        <f t="shared" si="16"/>
        <v>3.3581249999999998</v>
      </c>
      <c r="F53" s="37"/>
      <c r="G53" s="37">
        <f t="shared" si="16"/>
        <v>5.3484357142857153</v>
      </c>
      <c r="H53" s="37">
        <f t="shared" si="16"/>
        <v>5.0572249999999999</v>
      </c>
      <c r="I53" s="37"/>
      <c r="J53" s="37"/>
      <c r="K53" s="37"/>
      <c r="L53" s="37" t="e">
        <f t="shared" si="16"/>
        <v>#REF!</v>
      </c>
      <c r="M53" s="37"/>
      <c r="N53" s="37" t="e">
        <f t="shared" si="16"/>
        <v>#REF!</v>
      </c>
    </row>
    <row r="54" spans="1:14" hidden="1" x14ac:dyDescent="0.2">
      <c r="A54" s="37" t="s">
        <v>42</v>
      </c>
      <c r="B54" s="37" t="e">
        <f t="shared" ref="B54:N54" si="17">SUM(B46:B53)</f>
        <v>#REF!</v>
      </c>
      <c r="C54" s="37"/>
      <c r="D54" s="37" t="e">
        <f t="shared" si="17"/>
        <v>#REF!</v>
      </c>
      <c r="E54" s="37" t="e">
        <f t="shared" si="17"/>
        <v>#REF!</v>
      </c>
      <c r="F54" s="37"/>
      <c r="G54" s="37" t="e">
        <f t="shared" si="17"/>
        <v>#REF!</v>
      </c>
      <c r="H54" s="37" t="e">
        <f t="shared" si="17"/>
        <v>#REF!</v>
      </c>
      <c r="I54" s="37"/>
      <c r="J54" s="37"/>
      <c r="K54" s="37"/>
      <c r="L54" s="37" t="e">
        <f t="shared" si="17"/>
        <v>#REF!</v>
      </c>
      <c r="M54" s="37"/>
      <c r="N54" s="37" t="e">
        <f t="shared" si="17"/>
        <v>#REF!</v>
      </c>
    </row>
    <row r="55" spans="1:14" hidden="1" x14ac:dyDescent="0.2">
      <c r="A55" s="37" t="s">
        <v>43</v>
      </c>
      <c r="B55" s="37" t="e">
        <f t="shared" ref="B55:N55" si="18">B54*0.77/100</f>
        <v>#REF!</v>
      </c>
      <c r="C55" s="37"/>
      <c r="D55" s="37" t="e">
        <f t="shared" si="18"/>
        <v>#REF!</v>
      </c>
      <c r="E55" s="37" t="e">
        <f t="shared" si="18"/>
        <v>#REF!</v>
      </c>
      <c r="F55" s="37"/>
      <c r="G55" s="37" t="e">
        <f t="shared" si="18"/>
        <v>#REF!</v>
      </c>
      <c r="H55" s="37" t="e">
        <f t="shared" si="18"/>
        <v>#REF!</v>
      </c>
      <c r="I55" s="37"/>
      <c r="J55" s="37"/>
      <c r="K55" s="37"/>
      <c r="L55" s="37" t="e">
        <f t="shared" si="18"/>
        <v>#REF!</v>
      </c>
      <c r="M55" s="37"/>
      <c r="N55" s="37" t="e">
        <f t="shared" si="18"/>
        <v>#REF!</v>
      </c>
    </row>
    <row r="56" spans="1:14" hidden="1" x14ac:dyDescent="0.2">
      <c r="A56" s="37" t="s">
        <v>66</v>
      </c>
      <c r="B56" s="37" t="e">
        <f t="shared" ref="B56:N56" si="19">SUM(B54:B55)</f>
        <v>#REF!</v>
      </c>
      <c r="C56" s="37"/>
      <c r="D56" s="37" t="e">
        <f t="shared" si="19"/>
        <v>#REF!</v>
      </c>
      <c r="E56" s="37" t="e">
        <f t="shared" si="19"/>
        <v>#REF!</v>
      </c>
      <c r="F56" s="37"/>
      <c r="G56" s="37" t="e">
        <f t="shared" si="19"/>
        <v>#REF!</v>
      </c>
      <c r="H56" s="37" t="e">
        <f t="shared" si="19"/>
        <v>#REF!</v>
      </c>
      <c r="I56" s="37"/>
      <c r="J56" s="37"/>
      <c r="K56" s="37"/>
      <c r="L56" s="37" t="e">
        <f t="shared" si="19"/>
        <v>#REF!</v>
      </c>
      <c r="M56" s="37"/>
      <c r="N56" s="37" t="e">
        <f t="shared" si="19"/>
        <v>#REF!</v>
      </c>
    </row>
    <row r="57" spans="1:14" hidden="1" x14ac:dyDescent="0.2">
      <c r="A57" s="37" t="s">
        <v>44</v>
      </c>
      <c r="B57" s="37" t="e">
        <f t="shared" ref="B57:N57" si="20">B58/B56*100</f>
        <v>#REF!</v>
      </c>
      <c r="C57" s="37"/>
      <c r="D57" s="37" t="e">
        <f t="shared" si="20"/>
        <v>#REF!</v>
      </c>
      <c r="E57" s="37" t="e">
        <f t="shared" si="20"/>
        <v>#REF!</v>
      </c>
      <c r="F57" s="37"/>
      <c r="G57" s="37" t="e">
        <f t="shared" si="20"/>
        <v>#REF!</v>
      </c>
      <c r="H57" s="37" t="e">
        <f t="shared" si="20"/>
        <v>#REF!</v>
      </c>
      <c r="I57" s="37"/>
      <c r="J57" s="37"/>
      <c r="K57" s="37"/>
      <c r="L57" s="37" t="e">
        <f t="shared" si="20"/>
        <v>#REF!</v>
      </c>
      <c r="M57" s="37"/>
      <c r="N57" s="37" t="e">
        <f t="shared" si="20"/>
        <v>#REF!</v>
      </c>
    </row>
    <row r="58" spans="1:14" hidden="1" x14ac:dyDescent="0.2">
      <c r="A58" s="37" t="s">
        <v>45</v>
      </c>
      <c r="B58" s="37" t="e">
        <f t="shared" ref="B58:N58" si="21">B59-B56</f>
        <v>#REF!</v>
      </c>
      <c r="C58" s="37"/>
      <c r="D58" s="37" t="e">
        <f t="shared" si="21"/>
        <v>#REF!</v>
      </c>
      <c r="E58" s="37" t="e">
        <f t="shared" si="21"/>
        <v>#REF!</v>
      </c>
      <c r="F58" s="37"/>
      <c r="G58" s="37" t="e">
        <f t="shared" si="21"/>
        <v>#REF!</v>
      </c>
      <c r="H58" s="37" t="e">
        <f t="shared" si="21"/>
        <v>#REF!</v>
      </c>
      <c r="I58" s="37"/>
      <c r="J58" s="37"/>
      <c r="K58" s="37"/>
      <c r="L58" s="37" t="e">
        <f t="shared" si="21"/>
        <v>#REF!</v>
      </c>
      <c r="M58" s="37"/>
      <c r="N58" s="37" t="e">
        <f t="shared" si="21"/>
        <v>#REF!</v>
      </c>
    </row>
    <row r="59" spans="1:14" hidden="1" x14ac:dyDescent="0.2">
      <c r="A59" s="37" t="s">
        <v>46</v>
      </c>
      <c r="B59" s="37" t="e">
        <f>Лист2!#REF!</f>
        <v>#REF!</v>
      </c>
      <c r="C59" s="37"/>
      <c r="D59" s="37" t="e">
        <f>Лист2!#REF!</f>
        <v>#REF!</v>
      </c>
      <c r="E59" s="37" t="e">
        <f>Лист2!#REF!</f>
        <v>#REF!</v>
      </c>
      <c r="F59" s="37"/>
      <c r="G59" s="37" t="e">
        <f>Лист2!#REF!</f>
        <v>#REF!</v>
      </c>
      <c r="H59" s="37" t="e">
        <f>Лист2!#REF!</f>
        <v>#REF!</v>
      </c>
      <c r="I59" s="37"/>
      <c r="J59" s="37"/>
      <c r="K59" s="37"/>
      <c r="L59" s="37" t="e">
        <f>Лист2!#REF!</f>
        <v>#REF!</v>
      </c>
      <c r="M59" s="37"/>
      <c r="N59" s="37" t="e">
        <f>Лист2!#REF!</f>
        <v>#REF!</v>
      </c>
    </row>
    <row r="60" spans="1:14" hidden="1" x14ac:dyDescent="0.2">
      <c r="A60" s="37" t="s">
        <v>47</v>
      </c>
      <c r="B60" s="37" t="e">
        <f t="shared" ref="B60:N60" si="22">B59*10/100</f>
        <v>#REF!</v>
      </c>
      <c r="C60" s="37"/>
      <c r="D60" s="37" t="e">
        <f t="shared" si="22"/>
        <v>#REF!</v>
      </c>
      <c r="E60" s="37" t="e">
        <f t="shared" si="22"/>
        <v>#REF!</v>
      </c>
      <c r="F60" s="37"/>
      <c r="G60" s="37" t="e">
        <f t="shared" si="22"/>
        <v>#REF!</v>
      </c>
      <c r="H60" s="37" t="e">
        <f t="shared" si="22"/>
        <v>#REF!</v>
      </c>
      <c r="I60" s="37"/>
      <c r="J60" s="37"/>
      <c r="K60" s="37"/>
      <c r="L60" s="37" t="e">
        <f t="shared" si="22"/>
        <v>#REF!</v>
      </c>
      <c r="M60" s="37"/>
      <c r="N60" s="37" t="e">
        <f t="shared" si="22"/>
        <v>#REF!</v>
      </c>
    </row>
    <row r="61" spans="1:14" hidden="1" x14ac:dyDescent="0.2">
      <c r="A61" s="37" t="s">
        <v>48</v>
      </c>
      <c r="B61" s="37" t="e">
        <f t="shared" ref="B61:N61" si="23">B59+B60</f>
        <v>#REF!</v>
      </c>
      <c r="C61" s="37"/>
      <c r="D61" s="37" t="e">
        <f t="shared" si="23"/>
        <v>#REF!</v>
      </c>
      <c r="E61" s="37" t="e">
        <f t="shared" si="23"/>
        <v>#REF!</v>
      </c>
      <c r="F61" s="37"/>
      <c r="G61" s="37" t="e">
        <f t="shared" si="23"/>
        <v>#REF!</v>
      </c>
      <c r="H61" s="37" t="e">
        <f t="shared" si="23"/>
        <v>#REF!</v>
      </c>
      <c r="I61" s="37"/>
      <c r="J61" s="37"/>
      <c r="K61" s="37"/>
      <c r="L61" s="37" t="e">
        <f t="shared" si="23"/>
        <v>#REF!</v>
      </c>
      <c r="M61" s="37"/>
      <c r="N61" s="37" t="e">
        <f t="shared" si="23"/>
        <v>#REF!</v>
      </c>
    </row>
    <row r="62" spans="1:14" hidden="1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4" hidden="1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4" x14ac:dyDescent="0.2">
      <c r="A64" s="243" t="s">
        <v>93</v>
      </c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</row>
    <row r="65" spans="1:15" ht="13.5" thickBot="1" x14ac:dyDescent="0.25">
      <c r="A65" s="21"/>
      <c r="B65" s="21"/>
      <c r="C65" s="21"/>
      <c r="J65" s="20"/>
      <c r="K65" s="20">
        <f>SUM(B40:J40)</f>
        <v>481116.22057463188</v>
      </c>
      <c r="L65" s="21"/>
      <c r="M65" s="21"/>
      <c r="N65" s="21"/>
    </row>
    <row r="66" spans="1:15" ht="13.5" thickBot="1" x14ac:dyDescent="0.25">
      <c r="A66" s="149" t="s">
        <v>15</v>
      </c>
      <c r="B66" s="150" t="s">
        <v>50</v>
      </c>
      <c r="C66" s="120"/>
      <c r="H66" s="20"/>
      <c r="J66" s="117"/>
      <c r="L66" s="21"/>
      <c r="M66" s="21"/>
      <c r="N66" s="21"/>
    </row>
    <row r="67" spans="1:15" ht="13.5" thickBot="1" x14ac:dyDescent="0.25">
      <c r="A67" s="151">
        <v>1</v>
      </c>
      <c r="B67" s="152">
        <v>2</v>
      </c>
      <c r="C67" s="121"/>
      <c r="L67" s="21"/>
      <c r="M67" s="21"/>
      <c r="N67" s="21"/>
    </row>
    <row r="68" spans="1:15" x14ac:dyDescent="0.2">
      <c r="A68" s="153" t="s">
        <v>134</v>
      </c>
      <c r="B68" s="141">
        <f>(B40+C40+D40+E40+F40+G40+H40+I40)/1000</f>
        <v>427.53273234839912</v>
      </c>
      <c r="C68" s="122"/>
      <c r="D68" s="20">
        <f>B40+C40+D40+E40+F40+G40+H40+I40+J40</f>
        <v>481116.22057463188</v>
      </c>
      <c r="L68" s="21"/>
      <c r="M68" s="21"/>
      <c r="N68" s="21"/>
    </row>
    <row r="69" spans="1:15" x14ac:dyDescent="0.2">
      <c r="A69" s="154" t="s">
        <v>133</v>
      </c>
      <c r="B69" s="45">
        <f>Лист2!E16/1000</f>
        <v>2.625</v>
      </c>
      <c r="C69" s="122"/>
      <c r="L69" s="21"/>
      <c r="M69" s="21"/>
      <c r="N69" s="21"/>
    </row>
    <row r="70" spans="1:15" ht="17.25" customHeight="1" x14ac:dyDescent="0.2">
      <c r="A70" s="154" t="s">
        <v>85</v>
      </c>
      <c r="B70" s="45">
        <f>B11/1000</f>
        <v>43.216495000000002</v>
      </c>
      <c r="C70" s="122"/>
      <c r="L70" s="21"/>
      <c r="M70" s="21"/>
      <c r="N70" s="21"/>
    </row>
    <row r="71" spans="1:15" ht="25.5" x14ac:dyDescent="0.2">
      <c r="A71" s="154" t="s">
        <v>135</v>
      </c>
      <c r="B71" s="45">
        <f>B17/1000</f>
        <v>370.55382318955003</v>
      </c>
      <c r="C71" s="122"/>
      <c r="H71" s="78"/>
      <c r="I71" s="78"/>
      <c r="J71" s="78"/>
      <c r="K71" s="78"/>
      <c r="L71" s="78"/>
      <c r="M71" s="78"/>
      <c r="N71" s="78"/>
      <c r="O71" s="78">
        <f>B71*0.25</f>
        <v>92.638455797387508</v>
      </c>
    </row>
    <row r="72" spans="1:15" x14ac:dyDescent="0.2">
      <c r="A72" s="154" t="s">
        <v>139</v>
      </c>
      <c r="B72" s="45">
        <f>B71/B68</f>
        <v>0.86672620632841602</v>
      </c>
      <c r="C72" s="122"/>
      <c r="H72" s="78"/>
      <c r="I72" s="78"/>
      <c r="J72" s="78"/>
      <c r="K72" s="78"/>
      <c r="L72" s="78"/>
      <c r="M72" s="78"/>
      <c r="N72" s="78"/>
      <c r="O72" s="78">
        <f>(B38+D38+E38+G38+H38+J38)/6</f>
        <v>187.72892336728569</v>
      </c>
    </row>
    <row r="73" spans="1:15" ht="29.25" customHeight="1" x14ac:dyDescent="0.2">
      <c r="A73" s="154" t="s">
        <v>86</v>
      </c>
      <c r="B73" s="45">
        <f>B74+B75</f>
        <v>441</v>
      </c>
      <c r="C73" s="122"/>
      <c r="H73" s="78" t="s">
        <v>140</v>
      </c>
      <c r="I73" s="78"/>
      <c r="J73" s="79">
        <f>O71*1000/(O72-O73)</f>
        <v>1131.7191205318284</v>
      </c>
      <c r="K73" s="79"/>
      <c r="L73" s="78"/>
      <c r="M73" s="78"/>
      <c r="N73" s="78"/>
      <c r="O73" s="78">
        <f>B71*0.75/B69</f>
        <v>105.87252091130001</v>
      </c>
    </row>
    <row r="74" spans="1:15" ht="18" customHeight="1" x14ac:dyDescent="0.2">
      <c r="A74" s="154" t="s">
        <v>136</v>
      </c>
      <c r="B74" s="45">
        <f>Лист3!C15/1000</f>
        <v>352.8</v>
      </c>
      <c r="C74" s="122"/>
      <c r="J74">
        <f>J73/Лист2!C16</f>
        <v>107.78277338398365</v>
      </c>
      <c r="L74" s="21"/>
      <c r="M74" s="21"/>
      <c r="N74" s="21"/>
    </row>
    <row r="75" spans="1:15" ht="16.5" customHeight="1" x14ac:dyDescent="0.2">
      <c r="A75" s="154" t="s">
        <v>137</v>
      </c>
      <c r="B75" s="45">
        <f>B74*25/100</f>
        <v>88.2</v>
      </c>
      <c r="C75" s="122"/>
      <c r="D75" s="38">
        <v>0.25</v>
      </c>
      <c r="L75" s="21"/>
      <c r="M75" s="21"/>
      <c r="N75" s="21"/>
    </row>
    <row r="76" spans="1:15" ht="17.25" customHeight="1" x14ac:dyDescent="0.2">
      <c r="A76" s="154" t="s">
        <v>95</v>
      </c>
      <c r="B76" s="45">
        <f>B68/B73</f>
        <v>0.9694619781142837</v>
      </c>
      <c r="C76" s="122"/>
      <c r="L76" s="21"/>
      <c r="M76" s="21"/>
      <c r="N76" s="21"/>
    </row>
    <row r="77" spans="1:15" ht="18" customHeight="1" x14ac:dyDescent="0.2">
      <c r="A77" s="154" t="s">
        <v>96</v>
      </c>
      <c r="B77" s="45">
        <f>B73/B68</f>
        <v>1.0314999686167334</v>
      </c>
      <c r="C77" s="122"/>
      <c r="L77" s="21"/>
      <c r="M77" s="21"/>
      <c r="N77" s="21"/>
    </row>
    <row r="78" spans="1:15" ht="25.5" x14ac:dyDescent="0.2">
      <c r="A78" s="154" t="s">
        <v>87</v>
      </c>
      <c r="B78" s="45">
        <f>B68-B71</f>
        <v>56.978909158849092</v>
      </c>
      <c r="C78" s="122"/>
      <c r="L78" s="21"/>
      <c r="M78" s="21"/>
      <c r="N78" s="21"/>
    </row>
    <row r="79" spans="1:15" ht="15" customHeight="1" x14ac:dyDescent="0.2">
      <c r="A79" s="154" t="s">
        <v>131</v>
      </c>
      <c r="B79" s="45">
        <f>(B78/B71)*100</f>
        <v>15.376689051107853</v>
      </c>
      <c r="C79" s="122"/>
      <c r="L79" s="21"/>
      <c r="M79" s="21"/>
      <c r="N79" s="21"/>
    </row>
    <row r="80" spans="1:15" ht="17.25" customHeight="1" x14ac:dyDescent="0.2">
      <c r="A80" s="154" t="s">
        <v>132</v>
      </c>
      <c r="B80" s="45">
        <f>B78/B73*100</f>
        <v>12.920387564364875</v>
      </c>
      <c r="C80" s="122"/>
      <c r="L80" s="21"/>
      <c r="M80" s="21"/>
      <c r="N80" s="21"/>
    </row>
    <row r="81" spans="1:14" ht="25.5" x14ac:dyDescent="0.2">
      <c r="A81" s="154" t="s">
        <v>88</v>
      </c>
      <c r="B81" s="45">
        <f>B78/B74</f>
        <v>0.16150484455456091</v>
      </c>
      <c r="C81" s="122"/>
      <c r="L81" s="21"/>
      <c r="M81" s="21"/>
      <c r="N81" s="21"/>
    </row>
    <row r="82" spans="1:14" ht="35.25" customHeight="1" thickBot="1" x14ac:dyDescent="0.25">
      <c r="A82" s="155" t="s">
        <v>89</v>
      </c>
      <c r="B82" s="146">
        <f>B73/B78</f>
        <v>7.7397059106652035</v>
      </c>
      <c r="C82" s="122"/>
      <c r="L82" s="21"/>
      <c r="M82" s="21"/>
      <c r="N82" s="21"/>
    </row>
    <row r="85" spans="1:14" x14ac:dyDescent="0.2">
      <c r="A85" s="245" t="s">
        <v>51</v>
      </c>
      <c r="B85" s="245"/>
      <c r="C85" s="245"/>
      <c r="D85" s="245"/>
      <c r="E85" s="245"/>
      <c r="F85" s="245"/>
      <c r="G85" s="245"/>
    </row>
    <row r="86" spans="1:14" ht="13.5" thickBot="1" x14ac:dyDescent="0.25"/>
    <row r="87" spans="1:14" ht="51" x14ac:dyDescent="0.2">
      <c r="A87" s="12" t="s">
        <v>73</v>
      </c>
      <c r="B87" s="13" t="s">
        <v>52</v>
      </c>
      <c r="C87" s="13"/>
      <c r="D87" s="13" t="s">
        <v>53</v>
      </c>
      <c r="E87" s="13" t="s">
        <v>54</v>
      </c>
      <c r="F87" s="13"/>
      <c r="G87" s="13" t="s">
        <v>55</v>
      </c>
      <c r="H87" s="14" t="s">
        <v>56</v>
      </c>
      <c r="I87" s="16"/>
      <c r="J87" s="16"/>
      <c r="K87" s="16"/>
      <c r="L87" s="16"/>
      <c r="M87" s="16"/>
      <c r="N87" s="16"/>
    </row>
    <row r="88" spans="1:14" x14ac:dyDescent="0.2">
      <c r="A88" s="42">
        <v>1</v>
      </c>
      <c r="B88" s="10">
        <v>2</v>
      </c>
      <c r="C88" s="10"/>
      <c r="D88" s="10">
        <v>3</v>
      </c>
      <c r="E88" s="10">
        <v>4</v>
      </c>
      <c r="F88" s="10"/>
      <c r="G88" s="10">
        <v>5</v>
      </c>
      <c r="H88" s="43">
        <v>6</v>
      </c>
      <c r="I88" s="18"/>
    </row>
    <row r="89" spans="1:14" x14ac:dyDescent="0.2">
      <c r="A89" s="3" t="s">
        <v>13</v>
      </c>
      <c r="B89" s="44">
        <f>Лист2!E24+Лист2!E35+Лист2!E46+Лист2!E60+Лист2!E75+Лист2!E88+Лист2!E100+Лист2!E112+Лист2!E123</f>
        <v>1318.5</v>
      </c>
      <c r="C89" s="44"/>
      <c r="D89" s="44">
        <v>11</v>
      </c>
      <c r="E89" s="44">
        <f>B89*0.1/100</f>
        <v>1.3185</v>
      </c>
      <c r="F89" s="44"/>
      <c r="G89" s="44">
        <f>D89*25/100</f>
        <v>2.75</v>
      </c>
      <c r="H89" s="45">
        <f>E89*G89</f>
        <v>3.6258750000000002</v>
      </c>
      <c r="I89" s="25"/>
      <c r="J89" s="19"/>
      <c r="K89" s="19"/>
      <c r="L89" s="19"/>
      <c r="M89" s="19"/>
      <c r="N89" s="19"/>
    </row>
    <row r="90" spans="1:14" x14ac:dyDescent="0.2">
      <c r="A90" s="4" t="s">
        <v>12</v>
      </c>
      <c r="B90" s="44">
        <f>Лист2!F76+Лист2!F23+Лист2!F46+Лист2!F59</f>
        <v>507.90249999999997</v>
      </c>
      <c r="C90" s="44"/>
      <c r="D90" s="44">
        <v>6</v>
      </c>
      <c r="E90" s="44">
        <f>B90*0.1/100</f>
        <v>0.50790250000000003</v>
      </c>
      <c r="F90" s="44"/>
      <c r="G90" s="44">
        <f>D90*25/100</f>
        <v>1.5</v>
      </c>
      <c r="H90" s="45">
        <f>E90*G90</f>
        <v>0.76185375</v>
      </c>
      <c r="I90" s="25"/>
      <c r="J90" s="19"/>
      <c r="K90" s="19"/>
      <c r="L90" s="19"/>
      <c r="M90" s="19"/>
      <c r="N90" s="19"/>
    </row>
    <row r="91" spans="1:14" x14ac:dyDescent="0.2">
      <c r="A91" t="s">
        <v>59</v>
      </c>
      <c r="B91" s="25">
        <f>B89+B90</f>
        <v>1826.4024999999999</v>
      </c>
      <c r="C91" s="25"/>
      <c r="D91" s="25" t="s">
        <v>79</v>
      </c>
      <c r="E91" s="38">
        <v>0.1</v>
      </c>
      <c r="F91" s="38"/>
      <c r="G91" s="18" t="s">
        <v>79</v>
      </c>
      <c r="H91" s="25">
        <f>H89+H90</f>
        <v>4.38772875</v>
      </c>
      <c r="I91" s="25"/>
    </row>
  </sheetData>
  <mergeCells count="12">
    <mergeCell ref="A4:D4"/>
    <mergeCell ref="A22:A23"/>
    <mergeCell ref="A20:N20"/>
    <mergeCell ref="A5:A6"/>
    <mergeCell ref="B22:N22"/>
    <mergeCell ref="B5:B6"/>
    <mergeCell ref="C5:C6"/>
    <mergeCell ref="A64:N64"/>
    <mergeCell ref="A85:G85"/>
    <mergeCell ref="A41:H41"/>
    <mergeCell ref="A43:A44"/>
    <mergeCell ref="B43:N43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2"/>
  <sheetViews>
    <sheetView topLeftCell="A31" workbookViewId="0">
      <selection activeCell="G11" sqref="G11"/>
    </sheetView>
  </sheetViews>
  <sheetFormatPr defaultRowHeight="12.75" x14ac:dyDescent="0.2"/>
  <cols>
    <col min="1" max="1" width="19.28515625" customWidth="1"/>
    <col min="2" max="2" width="30.28515625" customWidth="1"/>
    <col min="3" max="3" width="11.7109375" customWidth="1"/>
    <col min="4" max="4" width="10.140625" customWidth="1"/>
    <col min="6" max="6" width="10.28515625" customWidth="1"/>
    <col min="7" max="7" width="10.7109375" customWidth="1"/>
  </cols>
  <sheetData>
    <row r="2" spans="1:9" ht="18.75" x14ac:dyDescent="0.3">
      <c r="C2" s="255" t="s">
        <v>99</v>
      </c>
      <c r="D2" s="255"/>
      <c r="E2" s="255"/>
      <c r="F2" s="255"/>
      <c r="G2" s="255"/>
      <c r="H2" s="255"/>
      <c r="I2" s="255"/>
    </row>
    <row r="4" spans="1:9" ht="63.75" customHeight="1" x14ac:dyDescent="0.2">
      <c r="A4" s="218" t="s">
        <v>5</v>
      </c>
      <c r="B4" s="218" t="s">
        <v>100</v>
      </c>
      <c r="C4" s="218" t="s">
        <v>101</v>
      </c>
      <c r="D4" s="218"/>
      <c r="E4" s="218" t="s">
        <v>102</v>
      </c>
      <c r="F4" s="218" t="s">
        <v>103</v>
      </c>
      <c r="G4" s="218"/>
    </row>
    <row r="5" spans="1:9" x14ac:dyDescent="0.2">
      <c r="A5" s="218"/>
      <c r="B5" s="218"/>
      <c r="C5" s="218" t="s">
        <v>104</v>
      </c>
      <c r="D5" s="218" t="s">
        <v>105</v>
      </c>
      <c r="E5" s="218"/>
      <c r="F5" s="218" t="s">
        <v>14</v>
      </c>
      <c r="G5" s="218" t="s">
        <v>106</v>
      </c>
    </row>
    <row r="6" spans="1:9" x14ac:dyDescent="0.2">
      <c r="A6" s="218"/>
      <c r="B6" s="218"/>
      <c r="C6" s="218"/>
      <c r="D6" s="218"/>
      <c r="E6" s="218"/>
      <c r="F6" s="218"/>
      <c r="G6" s="218"/>
    </row>
    <row r="7" spans="1:9" x14ac:dyDescent="0.2">
      <c r="A7" s="118">
        <v>1</v>
      </c>
      <c r="B7" s="118">
        <v>2</v>
      </c>
      <c r="C7" s="118">
        <v>3</v>
      </c>
      <c r="D7" s="118">
        <v>4</v>
      </c>
      <c r="E7" s="118">
        <v>5</v>
      </c>
      <c r="F7" s="118">
        <v>6</v>
      </c>
      <c r="G7" s="118">
        <v>7</v>
      </c>
    </row>
    <row r="8" spans="1:9" x14ac:dyDescent="0.2">
      <c r="A8" s="256" t="str">
        <f>Лист2!B23</f>
        <v>Пастила «Двухслойная»</v>
      </c>
      <c r="B8" s="134" t="str">
        <f>Лист2!D23</f>
        <v>Сахар-песок</v>
      </c>
      <c r="C8" s="44">
        <f>Лист2!F23</f>
        <v>165.97499999999999</v>
      </c>
      <c r="D8" s="44">
        <f>Лист2!H23</f>
        <v>7468.875</v>
      </c>
      <c r="E8" s="10">
        <v>5</v>
      </c>
      <c r="F8" s="44">
        <f>G8/C8</f>
        <v>2.25</v>
      </c>
      <c r="G8" s="44">
        <f>D8*E8/100</f>
        <v>373.44375000000002</v>
      </c>
    </row>
    <row r="9" spans="1:9" x14ac:dyDescent="0.2">
      <c r="A9" s="257"/>
      <c r="B9" s="134" t="str">
        <f>Лист2!D24</f>
        <v>Патока</v>
      </c>
      <c r="C9" s="44">
        <f>Лист2!F24</f>
        <v>26.975000000000001</v>
      </c>
      <c r="D9" s="44">
        <f>Лист2!H24</f>
        <v>1213.875</v>
      </c>
      <c r="E9" s="10">
        <v>5</v>
      </c>
      <c r="F9" s="44">
        <f t="shared" ref="F9:F16" si="0">G9/C9</f>
        <v>2.25</v>
      </c>
      <c r="G9" s="44">
        <f t="shared" ref="G9:G16" si="1">D9*E9/100</f>
        <v>60.693750000000001</v>
      </c>
    </row>
    <row r="10" spans="1:9" x14ac:dyDescent="0.2">
      <c r="A10" s="257"/>
      <c r="B10" s="134" t="str">
        <f>Лист2!D25</f>
        <v>Пюре яблочное</v>
      </c>
      <c r="C10" s="44">
        <f>Лист2!F25</f>
        <v>153</v>
      </c>
      <c r="D10" s="44">
        <f>Лист2!H25</f>
        <v>6885</v>
      </c>
      <c r="E10" s="10">
        <v>5</v>
      </c>
      <c r="F10" s="44">
        <f t="shared" si="0"/>
        <v>2.25</v>
      </c>
      <c r="G10" s="44">
        <f t="shared" si="1"/>
        <v>344.25</v>
      </c>
    </row>
    <row r="11" spans="1:9" x14ac:dyDescent="0.2">
      <c r="A11" s="257"/>
      <c r="B11" s="134" t="str">
        <f>Лист2!D26</f>
        <v>Припас ягодный</v>
      </c>
      <c r="C11" s="44">
        <f>Лист2!F26</f>
        <v>10</v>
      </c>
      <c r="D11" s="44">
        <f>Лист2!H26</f>
        <v>550</v>
      </c>
      <c r="E11" s="10">
        <v>5</v>
      </c>
      <c r="F11" s="44">
        <f t="shared" si="0"/>
        <v>2.75</v>
      </c>
      <c r="G11" s="44">
        <f t="shared" si="1"/>
        <v>27.5</v>
      </c>
    </row>
    <row r="12" spans="1:9" x14ac:dyDescent="0.2">
      <c r="A12" s="257"/>
      <c r="B12" s="134" t="str">
        <f>Лист2!D27</f>
        <v>Белок яичный</v>
      </c>
      <c r="C12" s="44">
        <f>Лист2!F27</f>
        <v>5.85</v>
      </c>
      <c r="D12" s="44">
        <f>Лист2!H27</f>
        <v>292.5</v>
      </c>
      <c r="E12" s="10">
        <v>5</v>
      </c>
      <c r="F12" s="44">
        <f t="shared" si="0"/>
        <v>2.5</v>
      </c>
      <c r="G12" s="44">
        <f t="shared" si="1"/>
        <v>14.625</v>
      </c>
    </row>
    <row r="13" spans="1:9" x14ac:dyDescent="0.2">
      <c r="A13" s="257"/>
      <c r="B13" s="134" t="str">
        <f>Лист2!D28</f>
        <v>Кислота молочная</v>
      </c>
      <c r="C13" s="44">
        <f>Лист2!F28</f>
        <v>1.25</v>
      </c>
      <c r="D13" s="44">
        <f>Лист2!H28</f>
        <v>150</v>
      </c>
      <c r="E13" s="10">
        <v>5</v>
      </c>
      <c r="F13" s="44">
        <f t="shared" si="0"/>
        <v>6</v>
      </c>
      <c r="G13" s="44">
        <f t="shared" si="1"/>
        <v>7.5</v>
      </c>
    </row>
    <row r="14" spans="1:9" x14ac:dyDescent="0.2">
      <c r="A14" s="257"/>
      <c r="B14" s="134" t="str">
        <f>Лист2!D30</f>
        <v>Гуммированная лента</v>
      </c>
      <c r="C14" s="44">
        <f>Лист2!F30</f>
        <v>0.2</v>
      </c>
      <c r="D14" s="44">
        <f>Лист2!H30</f>
        <v>2</v>
      </c>
      <c r="E14" s="10">
        <v>6</v>
      </c>
      <c r="F14" s="44">
        <f t="shared" si="0"/>
        <v>0.6</v>
      </c>
      <c r="G14" s="44">
        <f t="shared" si="1"/>
        <v>0.12</v>
      </c>
    </row>
    <row r="15" spans="1:9" x14ac:dyDescent="0.2">
      <c r="A15" s="257"/>
      <c r="B15" s="134" t="str">
        <f>Лист2!D31</f>
        <v>Полителен</v>
      </c>
      <c r="C15" s="44">
        <f>Лист2!F31</f>
        <v>5</v>
      </c>
      <c r="D15" s="44">
        <f>Лист2!H31</f>
        <v>75</v>
      </c>
      <c r="E15" s="10">
        <v>6</v>
      </c>
      <c r="F15" s="44">
        <f t="shared" si="0"/>
        <v>0.9</v>
      </c>
      <c r="G15" s="44">
        <f t="shared" si="1"/>
        <v>4.5</v>
      </c>
    </row>
    <row r="16" spans="1:9" x14ac:dyDescent="0.2">
      <c r="A16" s="257"/>
      <c r="B16" s="134" t="str">
        <f>Лист2!D32</f>
        <v>Гофркороба</v>
      </c>
      <c r="C16" s="44">
        <f>Лист2!F32</f>
        <v>18.5</v>
      </c>
      <c r="D16" s="44">
        <f>Лист2!H32</f>
        <v>370</v>
      </c>
      <c r="E16" s="10">
        <v>5</v>
      </c>
      <c r="F16" s="44">
        <f t="shared" si="0"/>
        <v>1</v>
      </c>
      <c r="G16" s="44">
        <f t="shared" si="1"/>
        <v>18.5</v>
      </c>
    </row>
    <row r="17" spans="1:7" x14ac:dyDescent="0.2">
      <c r="A17" s="51" t="s">
        <v>59</v>
      </c>
      <c r="B17" s="134"/>
      <c r="C17" s="10"/>
      <c r="D17" s="10"/>
      <c r="E17" s="10"/>
      <c r="F17" s="44">
        <f>G17/Лист2!C23</f>
        <v>3.4045300000000003</v>
      </c>
      <c r="G17" s="44">
        <f>SUM(G8:G16)</f>
        <v>851.13250000000005</v>
      </c>
    </row>
    <row r="18" spans="1:7" x14ac:dyDescent="0.2">
      <c r="A18" s="256" t="str">
        <f>Лист2!B34</f>
        <v>Пастила «Малиновая»</v>
      </c>
      <c r="B18" s="134" t="str">
        <f>Лист2!D34</f>
        <v>Сахар-песок</v>
      </c>
      <c r="C18" s="44">
        <f>Лист2!F34</f>
        <v>78.474999999999994</v>
      </c>
      <c r="D18" s="44">
        <f>Лист2!H34</f>
        <v>3531.3749999999995</v>
      </c>
      <c r="E18" s="10">
        <v>5</v>
      </c>
      <c r="F18" s="44">
        <f>G18/C18</f>
        <v>2.2499999999999996</v>
      </c>
      <c r="G18" s="44">
        <f>E18*D18/100</f>
        <v>176.56874999999997</v>
      </c>
    </row>
    <row r="19" spans="1:7" x14ac:dyDescent="0.2">
      <c r="A19" s="257"/>
      <c r="B19" s="134" t="str">
        <f>Лист2!D35</f>
        <v>Патока</v>
      </c>
      <c r="C19" s="44">
        <f>Лист2!F35</f>
        <v>13.487500000000001</v>
      </c>
      <c r="D19" s="44">
        <f>Лист2!H35</f>
        <v>606.9375</v>
      </c>
      <c r="E19" s="10">
        <v>5</v>
      </c>
      <c r="F19" s="44">
        <f t="shared" ref="F19:F25" si="2">G19/C19</f>
        <v>2.25</v>
      </c>
      <c r="G19" s="44">
        <f t="shared" ref="G19:G25" si="3">E19*D19/100</f>
        <v>30.346875000000001</v>
      </c>
    </row>
    <row r="20" spans="1:7" x14ac:dyDescent="0.2">
      <c r="A20" s="257"/>
      <c r="B20" s="134" t="str">
        <f>Лист2!D36</f>
        <v>Пюре яблочное</v>
      </c>
      <c r="C20" s="44">
        <f>Лист2!F36</f>
        <v>69.625</v>
      </c>
      <c r="D20" s="44">
        <f>Лист2!H36</f>
        <v>3133.125</v>
      </c>
      <c r="E20" s="10">
        <v>5</v>
      </c>
      <c r="F20" s="44">
        <f t="shared" si="2"/>
        <v>2.25</v>
      </c>
      <c r="G20" s="44">
        <f t="shared" si="3"/>
        <v>156.65625</v>
      </c>
    </row>
    <row r="21" spans="1:7" x14ac:dyDescent="0.2">
      <c r="A21" s="257"/>
      <c r="B21" s="134" t="str">
        <f>Лист2!D37</f>
        <v>Припас ягодный</v>
      </c>
      <c r="C21" s="44">
        <f>Лист2!F37</f>
        <v>13.75</v>
      </c>
      <c r="D21" s="44">
        <f>Лист2!H37</f>
        <v>756.25</v>
      </c>
      <c r="E21" s="10">
        <v>5</v>
      </c>
      <c r="F21" s="44">
        <f t="shared" si="2"/>
        <v>2.75</v>
      </c>
      <c r="G21" s="44">
        <f t="shared" si="3"/>
        <v>37.8125</v>
      </c>
    </row>
    <row r="22" spans="1:7" x14ac:dyDescent="0.2">
      <c r="A22" s="257"/>
      <c r="B22" s="134" t="str">
        <f>Лист2!D38</f>
        <v>Белок яичный</v>
      </c>
      <c r="C22" s="44">
        <f>Лист2!F38</f>
        <v>3.125</v>
      </c>
      <c r="D22" s="44">
        <f>Лист2!H38</f>
        <v>156.25</v>
      </c>
      <c r="E22" s="10">
        <v>5</v>
      </c>
      <c r="F22" s="44">
        <f t="shared" si="2"/>
        <v>2.5</v>
      </c>
      <c r="G22" s="44">
        <f t="shared" si="3"/>
        <v>7.8125</v>
      </c>
    </row>
    <row r="23" spans="1:7" x14ac:dyDescent="0.2">
      <c r="A23" s="257"/>
      <c r="B23" s="134" t="str">
        <f>Лист2!D39</f>
        <v>Агар-агар</v>
      </c>
      <c r="C23" s="44">
        <f>Лист2!F39</f>
        <v>0.75</v>
      </c>
      <c r="D23" s="44">
        <f>Лист2!H39</f>
        <v>337.5</v>
      </c>
      <c r="E23" s="10">
        <v>5</v>
      </c>
      <c r="F23" s="44">
        <f t="shared" si="2"/>
        <v>22.5</v>
      </c>
      <c r="G23" s="44">
        <f t="shared" si="3"/>
        <v>16.875</v>
      </c>
    </row>
    <row r="24" spans="1:7" x14ac:dyDescent="0.2">
      <c r="A24" s="257"/>
      <c r="B24" s="134" t="str">
        <f>Лист2!D41</f>
        <v>Бумага парафинированная</v>
      </c>
      <c r="C24" s="44">
        <f>Лист2!F41</f>
        <v>1.25</v>
      </c>
      <c r="D24" s="44">
        <f>Лист2!H41</f>
        <v>25</v>
      </c>
      <c r="E24" s="10">
        <v>6</v>
      </c>
      <c r="F24" s="44">
        <f t="shared" si="2"/>
        <v>1.2</v>
      </c>
      <c r="G24" s="44">
        <f t="shared" si="3"/>
        <v>1.5</v>
      </c>
    </row>
    <row r="25" spans="1:7" x14ac:dyDescent="0.2">
      <c r="A25" s="257"/>
      <c r="B25" s="134" t="str">
        <f>Лист2!D42</f>
        <v>Гуммированная лента</v>
      </c>
      <c r="C25" s="44">
        <f>Лист2!F42</f>
        <v>0.41249999999999998</v>
      </c>
      <c r="D25" s="44">
        <f>Лист2!H42</f>
        <v>4.125</v>
      </c>
      <c r="E25" s="10">
        <v>6</v>
      </c>
      <c r="F25" s="44">
        <f t="shared" si="2"/>
        <v>0.6</v>
      </c>
      <c r="G25" s="44">
        <f t="shared" si="3"/>
        <v>0.2475</v>
      </c>
    </row>
    <row r="26" spans="1:7" x14ac:dyDescent="0.2">
      <c r="A26" s="51" t="s">
        <v>59</v>
      </c>
      <c r="B26" s="134"/>
      <c r="C26" s="10"/>
      <c r="D26" s="10"/>
      <c r="E26" s="10"/>
      <c r="F26" s="44">
        <f>G26/Лист2!C34</f>
        <v>3.422555</v>
      </c>
      <c r="G26" s="44">
        <f>SUM(G18:G25)</f>
        <v>427.81937499999998</v>
      </c>
    </row>
    <row r="27" spans="1:7" x14ac:dyDescent="0.2">
      <c r="A27" s="256" t="str">
        <f>Лист2!B45</f>
        <v>Пастила «Клюквенная»</v>
      </c>
      <c r="B27" s="134" t="str">
        <f>Лист2!D45</f>
        <v>Сахар-песок</v>
      </c>
      <c r="C27" s="44">
        <f>Лист2!F45</f>
        <v>85.912499999999994</v>
      </c>
      <c r="D27" s="44">
        <f>Лист2!H45</f>
        <v>3866.0624999999995</v>
      </c>
      <c r="E27" s="10">
        <v>5</v>
      </c>
      <c r="F27" s="44">
        <f t="shared" ref="F27:F91" si="4">G27/C27</f>
        <v>2.2499999999999996</v>
      </c>
      <c r="G27" s="44">
        <f t="shared" ref="G27:G91" si="5">D27*E27/100</f>
        <v>193.30312499999997</v>
      </c>
    </row>
    <row r="28" spans="1:7" x14ac:dyDescent="0.2">
      <c r="A28" s="257"/>
      <c r="B28" s="134" t="str">
        <f>Лист2!D46</f>
        <v>Патока</v>
      </c>
      <c r="C28" s="44">
        <f>Лист2!F46</f>
        <v>13.487500000000001</v>
      </c>
      <c r="D28" s="44">
        <f>Лист2!H46</f>
        <v>606.9375</v>
      </c>
      <c r="E28" s="10">
        <v>5</v>
      </c>
      <c r="F28" s="44">
        <f t="shared" si="4"/>
        <v>2.25</v>
      </c>
      <c r="G28" s="44">
        <f t="shared" si="5"/>
        <v>30.346875000000001</v>
      </c>
    </row>
    <row r="29" spans="1:7" x14ac:dyDescent="0.2">
      <c r="A29" s="257"/>
      <c r="B29" s="134" t="str">
        <f>Лист2!D47</f>
        <v>Пюре яблочное</v>
      </c>
      <c r="C29" s="44">
        <f>Лист2!F47</f>
        <v>68.375</v>
      </c>
      <c r="D29" s="44">
        <f>Лист2!H47</f>
        <v>3076.875</v>
      </c>
      <c r="E29" s="10">
        <v>5</v>
      </c>
      <c r="F29" s="44">
        <f t="shared" si="4"/>
        <v>2.25</v>
      </c>
      <c r="G29" s="44">
        <f t="shared" si="5"/>
        <v>153.84375</v>
      </c>
    </row>
    <row r="30" spans="1:7" x14ac:dyDescent="0.2">
      <c r="A30" s="257"/>
      <c r="B30" s="134" t="str">
        <f>Лист2!D48</f>
        <v>Белок яичный</v>
      </c>
      <c r="C30" s="44">
        <f>Лист2!F48</f>
        <v>3.125</v>
      </c>
      <c r="D30" s="44">
        <f>Лист2!H48</f>
        <v>156.25</v>
      </c>
      <c r="E30" s="10">
        <v>5</v>
      </c>
      <c r="F30" s="44">
        <f t="shared" si="4"/>
        <v>2.5</v>
      </c>
      <c r="G30" s="44">
        <f t="shared" si="5"/>
        <v>7.8125</v>
      </c>
    </row>
    <row r="31" spans="1:7" x14ac:dyDescent="0.2">
      <c r="A31" s="257"/>
      <c r="B31" s="134" t="str">
        <f>Лист2!D49</f>
        <v>Кислота молочная</v>
      </c>
      <c r="C31" s="44">
        <f>Лист2!F49</f>
        <v>0.75</v>
      </c>
      <c r="D31" s="44">
        <f>Лист2!H49</f>
        <v>90</v>
      </c>
      <c r="E31" s="10">
        <v>5</v>
      </c>
      <c r="F31" s="44">
        <f t="shared" si="4"/>
        <v>6</v>
      </c>
      <c r="G31" s="44">
        <f t="shared" si="5"/>
        <v>4.5</v>
      </c>
    </row>
    <row r="32" spans="1:7" x14ac:dyDescent="0.2">
      <c r="A32" s="257"/>
      <c r="B32" s="134" t="str">
        <f>Лист2!D50</f>
        <v>Агар-агар</v>
      </c>
      <c r="C32" s="44">
        <f>Лист2!F50</f>
        <v>0.75</v>
      </c>
      <c r="D32" s="44">
        <f>Лист2!H50</f>
        <v>337.5</v>
      </c>
      <c r="E32" s="10">
        <v>5</v>
      </c>
      <c r="F32" s="44">
        <f t="shared" si="4"/>
        <v>22.5</v>
      </c>
      <c r="G32" s="44">
        <f t="shared" si="5"/>
        <v>16.875</v>
      </c>
    </row>
    <row r="33" spans="1:7" x14ac:dyDescent="0.2">
      <c r="A33" s="257"/>
      <c r="B33" s="134" t="str">
        <f>Лист2!D51</f>
        <v>Пюре клюквенное</v>
      </c>
      <c r="C33" s="44">
        <f>Лист2!F51</f>
        <v>10.15</v>
      </c>
      <c r="D33" s="44">
        <f>Лист2!H51</f>
        <v>600</v>
      </c>
      <c r="E33" s="10">
        <v>5</v>
      </c>
      <c r="F33" s="44">
        <f t="shared" si="4"/>
        <v>2.9556650246305418</v>
      </c>
      <c r="G33" s="44">
        <f t="shared" si="5"/>
        <v>30</v>
      </c>
    </row>
    <row r="34" spans="1:7" x14ac:dyDescent="0.2">
      <c r="A34" s="257"/>
      <c r="B34" s="134" t="str">
        <f>Лист2!D52</f>
        <v>Эссенция клюквенная</v>
      </c>
      <c r="C34" s="44">
        <f>Лист2!F52</f>
        <v>0.125</v>
      </c>
      <c r="D34" s="44">
        <f>Лист2!H52</f>
        <v>805</v>
      </c>
      <c r="E34" s="10">
        <v>6</v>
      </c>
      <c r="F34" s="44">
        <f t="shared" si="4"/>
        <v>386.4</v>
      </c>
      <c r="G34" s="44">
        <f t="shared" si="5"/>
        <v>48.3</v>
      </c>
    </row>
    <row r="35" spans="1:7" x14ac:dyDescent="0.2">
      <c r="A35" s="257"/>
      <c r="B35" s="134" t="str">
        <f>Лист2!D53</f>
        <v>Эссенция ванильная</v>
      </c>
      <c r="C35" s="44">
        <f>Лист2!F53</f>
        <v>7.4999999999999997E-2</v>
      </c>
      <c r="D35" s="44">
        <f>Лист2!H53</f>
        <v>275</v>
      </c>
      <c r="E35" s="10">
        <v>6</v>
      </c>
      <c r="F35" s="44">
        <f t="shared" si="4"/>
        <v>220</v>
      </c>
      <c r="G35" s="44">
        <f t="shared" si="5"/>
        <v>16.5</v>
      </c>
    </row>
    <row r="36" spans="1:7" x14ac:dyDescent="0.2">
      <c r="A36" s="257"/>
      <c r="B36" s="134" t="str">
        <f>Лист2!D54</f>
        <v>Краситель красный</v>
      </c>
      <c r="C36" s="44">
        <f>Лист2!F54</f>
        <v>0.25</v>
      </c>
      <c r="D36" s="44">
        <f>Лист2!H54</f>
        <v>20</v>
      </c>
      <c r="E36" s="10">
        <v>5</v>
      </c>
      <c r="F36" s="44">
        <f t="shared" si="4"/>
        <v>4</v>
      </c>
      <c r="G36" s="44">
        <f t="shared" si="5"/>
        <v>1</v>
      </c>
    </row>
    <row r="37" spans="1:7" x14ac:dyDescent="0.2">
      <c r="A37" s="257"/>
      <c r="B37" s="134" t="str">
        <f>Лист2!D55</f>
        <v>Бумага парафинированная</v>
      </c>
      <c r="C37" s="44">
        <f>Лист2!F55</f>
        <v>1.25</v>
      </c>
      <c r="D37" s="44">
        <f>Лист2!H55</f>
        <v>13</v>
      </c>
      <c r="E37" s="10">
        <v>5</v>
      </c>
      <c r="F37" s="44">
        <f t="shared" si="4"/>
        <v>0.52</v>
      </c>
      <c r="G37" s="44">
        <f t="shared" si="5"/>
        <v>0.65</v>
      </c>
    </row>
    <row r="38" spans="1:7" x14ac:dyDescent="0.2">
      <c r="A38" s="257"/>
      <c r="B38" s="134" t="str">
        <f>Лист2!D56</f>
        <v>Гуммированная лента</v>
      </c>
      <c r="C38" s="44">
        <f>Лист2!F56</f>
        <v>0.41249999999999998</v>
      </c>
      <c r="D38" s="44">
        <f>Лист2!H56</f>
        <v>1365</v>
      </c>
      <c r="E38" s="10">
        <v>5</v>
      </c>
      <c r="F38" s="44">
        <f t="shared" si="4"/>
        <v>165.45454545454547</v>
      </c>
      <c r="G38" s="44">
        <f t="shared" si="5"/>
        <v>68.25</v>
      </c>
    </row>
    <row r="39" spans="1:7" x14ac:dyDescent="0.2">
      <c r="A39" s="51" t="s">
        <v>59</v>
      </c>
      <c r="B39" s="134"/>
      <c r="C39" s="10"/>
      <c r="D39" s="10"/>
      <c r="E39" s="10"/>
      <c r="F39" s="44">
        <f>G39/Лист2!E9</f>
        <v>4.5710499999999996</v>
      </c>
      <c r="G39" s="44">
        <f>SUM(G27:G38)</f>
        <v>571.38124999999991</v>
      </c>
    </row>
    <row r="40" spans="1:7" x14ac:dyDescent="0.2">
      <c r="A40" s="256" t="str">
        <f>Лист2!B59</f>
        <v>Зефир «Сливочный»</v>
      </c>
      <c r="B40" s="134" t="str">
        <f>Лист2!D59</f>
        <v>Сахар-песок</v>
      </c>
      <c r="C40" s="44">
        <f>Лист2!F59</f>
        <v>218.89</v>
      </c>
      <c r="D40" s="44">
        <f>Лист2!H59</f>
        <v>9850.0499999999993</v>
      </c>
      <c r="E40" s="10">
        <v>5</v>
      </c>
      <c r="F40" s="44">
        <f t="shared" si="4"/>
        <v>2.25</v>
      </c>
      <c r="G40" s="44">
        <f t="shared" si="5"/>
        <v>492.5025</v>
      </c>
    </row>
    <row r="41" spans="1:7" x14ac:dyDescent="0.2">
      <c r="A41" s="257"/>
      <c r="B41" s="134" t="str">
        <f>Лист2!D60</f>
        <v>Патока</v>
      </c>
      <c r="C41" s="44">
        <f>Лист2!F60</f>
        <v>47.284999999999997</v>
      </c>
      <c r="D41" s="44">
        <f>Лист2!H60</f>
        <v>2127.8249999999998</v>
      </c>
      <c r="E41" s="10">
        <v>5</v>
      </c>
      <c r="F41" s="44">
        <f t="shared" si="4"/>
        <v>2.25</v>
      </c>
      <c r="G41" s="44">
        <f t="shared" si="5"/>
        <v>106.39125</v>
      </c>
    </row>
    <row r="42" spans="1:7" x14ac:dyDescent="0.2">
      <c r="A42" s="257"/>
      <c r="B42" s="134" t="str">
        <f>Лист2!D61</f>
        <v>Пюре яблочное</v>
      </c>
      <c r="C42" s="44">
        <f>Лист2!F61</f>
        <v>120.75</v>
      </c>
      <c r="D42" s="44">
        <f>Лист2!H61</f>
        <v>5433.75</v>
      </c>
      <c r="E42" s="10">
        <v>5</v>
      </c>
      <c r="F42" s="44">
        <f t="shared" si="4"/>
        <v>2.25</v>
      </c>
      <c r="G42" s="44">
        <f t="shared" si="5"/>
        <v>271.6875</v>
      </c>
    </row>
    <row r="43" spans="1:7" x14ac:dyDescent="0.2">
      <c r="A43" s="257"/>
      <c r="B43" s="134" t="str">
        <f>Лист2!D62</f>
        <v>Белок яичный</v>
      </c>
      <c r="C43" s="44">
        <f>Лист2!F62</f>
        <v>21.875</v>
      </c>
      <c r="D43" s="44">
        <f>Лист2!H62</f>
        <v>1093.75</v>
      </c>
      <c r="E43" s="10">
        <v>5</v>
      </c>
      <c r="F43" s="44">
        <f t="shared" si="4"/>
        <v>2.5</v>
      </c>
      <c r="G43" s="44">
        <f t="shared" si="5"/>
        <v>54.6875</v>
      </c>
    </row>
    <row r="44" spans="1:7" x14ac:dyDescent="0.2">
      <c r="A44" s="257"/>
      <c r="B44" s="134" t="str">
        <f>Лист2!D63</f>
        <v>Агар-агар</v>
      </c>
      <c r="C44" s="44">
        <f>Лист2!F63</f>
        <v>2.94</v>
      </c>
      <c r="D44" s="44">
        <f>Лист2!H63</f>
        <v>1323</v>
      </c>
      <c r="E44" s="10">
        <v>5</v>
      </c>
      <c r="F44" s="44">
        <f t="shared" si="4"/>
        <v>22.500000000000004</v>
      </c>
      <c r="G44" s="44">
        <f t="shared" si="5"/>
        <v>66.150000000000006</v>
      </c>
    </row>
    <row r="45" spans="1:7" x14ac:dyDescent="0.2">
      <c r="A45" s="257"/>
      <c r="B45" s="134" t="str">
        <f>Лист2!D64</f>
        <v>Кислота лимонная</v>
      </c>
      <c r="C45" s="44">
        <f>Лист2!F64</f>
        <v>0.94500000000000006</v>
      </c>
      <c r="D45" s="44">
        <f>Лист2!H64</f>
        <v>94.5</v>
      </c>
      <c r="E45" s="10">
        <v>5</v>
      </c>
      <c r="F45" s="44">
        <f t="shared" si="4"/>
        <v>4.9999999999999991</v>
      </c>
      <c r="G45" s="44">
        <f t="shared" si="5"/>
        <v>4.7249999999999996</v>
      </c>
    </row>
    <row r="46" spans="1:7" x14ac:dyDescent="0.2">
      <c r="A46" s="257"/>
      <c r="B46" s="134" t="str">
        <f>Лист2!D65</f>
        <v>Эссенция ванильная</v>
      </c>
      <c r="C46" s="44">
        <f>Лист2!F65</f>
        <v>0.7</v>
      </c>
      <c r="D46" s="44">
        <f>Лист2!H65</f>
        <v>175</v>
      </c>
      <c r="E46" s="10">
        <v>5</v>
      </c>
      <c r="F46" s="44">
        <f t="shared" si="4"/>
        <v>12.5</v>
      </c>
      <c r="G46" s="44">
        <f t="shared" si="5"/>
        <v>8.75</v>
      </c>
    </row>
    <row r="47" spans="1:7" x14ac:dyDescent="0.2">
      <c r="A47" s="257"/>
      <c r="B47" s="134" t="str">
        <f>Лист2!D66</f>
        <v>Молоко сух.цельное</v>
      </c>
      <c r="C47" s="44">
        <f>Лист2!F66</f>
        <v>7.1749999999999998</v>
      </c>
      <c r="D47" s="44">
        <f>Лист2!H66</f>
        <v>1076.25</v>
      </c>
      <c r="E47" s="10">
        <v>6</v>
      </c>
      <c r="F47" s="44">
        <f t="shared" si="4"/>
        <v>9</v>
      </c>
      <c r="G47" s="44">
        <f t="shared" si="5"/>
        <v>64.575000000000003</v>
      </c>
    </row>
    <row r="48" spans="1:7" x14ac:dyDescent="0.2">
      <c r="A48" s="257"/>
      <c r="B48" s="134" t="str">
        <f>Лист2!D67</f>
        <v>Молоко сух.обез.</v>
      </c>
      <c r="C48" s="44">
        <f>Лист2!F67</f>
        <v>7.1399999999999988</v>
      </c>
      <c r="D48" s="44">
        <f>Лист2!H67</f>
        <v>856.79999999999984</v>
      </c>
      <c r="E48" s="10">
        <v>5</v>
      </c>
      <c r="F48" s="44">
        <f t="shared" si="4"/>
        <v>5.9999999999999991</v>
      </c>
      <c r="G48" s="44">
        <f t="shared" si="5"/>
        <v>42.839999999999989</v>
      </c>
    </row>
    <row r="49" spans="1:7" x14ac:dyDescent="0.2">
      <c r="A49" s="257"/>
      <c r="B49" s="134" t="str">
        <f>Лист2!D68</f>
        <v>Воздушный рис</v>
      </c>
      <c r="C49" s="44">
        <f>Лист2!F68</f>
        <v>15.925000000000001</v>
      </c>
      <c r="D49" s="44">
        <f>Лист2!H68</f>
        <v>796.25</v>
      </c>
      <c r="E49" s="10">
        <v>5</v>
      </c>
      <c r="F49" s="44">
        <f t="shared" si="4"/>
        <v>2.5</v>
      </c>
      <c r="G49" s="44">
        <f t="shared" si="5"/>
        <v>39.8125</v>
      </c>
    </row>
    <row r="50" spans="1:7" x14ac:dyDescent="0.2">
      <c r="A50" s="51" t="s">
        <v>59</v>
      </c>
      <c r="B50" s="134"/>
      <c r="C50" s="10"/>
      <c r="D50" s="10"/>
      <c r="E50" s="10"/>
      <c r="F50" s="44">
        <f>G50/Лист2!E10</f>
        <v>3.2917749999999999</v>
      </c>
      <c r="G50" s="44">
        <f>SUM(G40:G49)</f>
        <v>1152.1212499999999</v>
      </c>
    </row>
    <row r="51" spans="1:7" x14ac:dyDescent="0.2">
      <c r="A51" s="256" t="str">
        <f>Лист2!B74</f>
        <v>Зефир «Киевский»</v>
      </c>
      <c r="B51" s="134" t="str">
        <f>Лист2!D74</f>
        <v>Сахар-песок</v>
      </c>
      <c r="C51" s="44">
        <f>Лист2!F74</f>
        <v>188.92999999999998</v>
      </c>
      <c r="D51" s="44">
        <f>Лист2!H74</f>
        <v>8501.8499999999985</v>
      </c>
      <c r="E51" s="10">
        <v>5</v>
      </c>
      <c r="F51" s="44">
        <f t="shared" si="4"/>
        <v>2.25</v>
      </c>
      <c r="G51" s="44">
        <f t="shared" si="5"/>
        <v>425.09249999999992</v>
      </c>
    </row>
    <row r="52" spans="1:7" x14ac:dyDescent="0.2">
      <c r="A52" s="257"/>
      <c r="B52" s="134" t="str">
        <f>Лист2!D75</f>
        <v>Патока</v>
      </c>
      <c r="C52" s="44">
        <f>Лист2!F75</f>
        <v>39.130000000000003</v>
      </c>
      <c r="D52" s="44">
        <f>Лист2!H75</f>
        <v>1760.8500000000001</v>
      </c>
      <c r="E52" s="10">
        <v>5</v>
      </c>
      <c r="F52" s="44">
        <f t="shared" si="4"/>
        <v>2.25</v>
      </c>
      <c r="G52" s="44">
        <f t="shared" si="5"/>
        <v>88.042500000000004</v>
      </c>
    </row>
    <row r="53" spans="1:7" x14ac:dyDescent="0.2">
      <c r="A53" s="257"/>
      <c r="B53" s="134" t="str">
        <f>Лист2!D76</f>
        <v>Пюре яблочное</v>
      </c>
      <c r="C53" s="44">
        <f>Лист2!F76</f>
        <v>109.55</v>
      </c>
      <c r="D53" s="44">
        <f>Лист2!H76</f>
        <v>4929.75</v>
      </c>
      <c r="E53" s="10">
        <v>5</v>
      </c>
      <c r="F53" s="44">
        <f t="shared" si="4"/>
        <v>2.25</v>
      </c>
      <c r="G53" s="44">
        <f t="shared" si="5"/>
        <v>246.48750000000001</v>
      </c>
    </row>
    <row r="54" spans="1:7" x14ac:dyDescent="0.2">
      <c r="A54" s="257"/>
      <c r="B54" s="134" t="str">
        <f>Лист2!D77</f>
        <v>Белок яичный</v>
      </c>
      <c r="C54" s="44">
        <f>Лист2!F77</f>
        <v>18.375</v>
      </c>
      <c r="D54" s="44">
        <f>Лист2!H77</f>
        <v>918.75</v>
      </c>
      <c r="E54" s="10">
        <v>5</v>
      </c>
      <c r="F54" s="44">
        <f t="shared" si="4"/>
        <v>2.5</v>
      </c>
      <c r="G54" s="44">
        <f t="shared" si="5"/>
        <v>45.9375</v>
      </c>
    </row>
    <row r="55" spans="1:7" x14ac:dyDescent="0.2">
      <c r="A55" s="257"/>
      <c r="B55" s="134" t="str">
        <f>Лист2!D78</f>
        <v>Кислота молочная</v>
      </c>
      <c r="C55" s="44">
        <f>Лист2!F78</f>
        <v>1.925</v>
      </c>
      <c r="D55" s="44">
        <f>Лист2!H78</f>
        <v>231</v>
      </c>
      <c r="E55" s="10">
        <v>5</v>
      </c>
      <c r="F55" s="44">
        <f t="shared" si="4"/>
        <v>6</v>
      </c>
      <c r="G55" s="44">
        <f t="shared" si="5"/>
        <v>11.55</v>
      </c>
    </row>
    <row r="56" spans="1:7" x14ac:dyDescent="0.2">
      <c r="A56" s="257"/>
      <c r="B56" s="134" t="str">
        <f>Лист2!D79</f>
        <v>Агар-агар</v>
      </c>
      <c r="C56" s="44">
        <f>Лист2!F79</f>
        <v>2.38</v>
      </c>
      <c r="D56" s="44">
        <f>Лист2!H79</f>
        <v>1071</v>
      </c>
      <c r="E56" s="10">
        <v>5</v>
      </c>
      <c r="F56" s="44">
        <f t="shared" si="4"/>
        <v>22.5</v>
      </c>
      <c r="G56" s="44">
        <f t="shared" si="5"/>
        <v>53.55</v>
      </c>
    </row>
    <row r="57" spans="1:7" x14ac:dyDescent="0.2">
      <c r="A57" s="257"/>
      <c r="B57" s="134" t="str">
        <f>Лист2!D80</f>
        <v>Эссенция ванильная</v>
      </c>
      <c r="C57" s="44">
        <f>Лист2!F80</f>
        <v>0.28000000000000003</v>
      </c>
      <c r="D57" s="44">
        <f>Лист2!H80</f>
        <v>70</v>
      </c>
      <c r="E57" s="10">
        <v>6</v>
      </c>
      <c r="F57" s="44">
        <f t="shared" si="4"/>
        <v>15</v>
      </c>
      <c r="G57" s="44">
        <f t="shared" si="5"/>
        <v>4.2</v>
      </c>
    </row>
    <row r="58" spans="1:7" x14ac:dyDescent="0.2">
      <c r="A58" s="257"/>
      <c r="B58" s="134" t="str">
        <f>Лист2!D81</f>
        <v>Краситель красный</v>
      </c>
      <c r="C58" s="44">
        <f>Лист2!F81</f>
        <v>0.35</v>
      </c>
      <c r="D58" s="44">
        <f>Лист2!H81</f>
        <v>105</v>
      </c>
      <c r="E58" s="10">
        <v>5</v>
      </c>
      <c r="F58" s="44">
        <f t="shared" si="4"/>
        <v>15.000000000000002</v>
      </c>
      <c r="G58" s="44">
        <f t="shared" si="5"/>
        <v>5.25</v>
      </c>
    </row>
    <row r="59" spans="1:7" x14ac:dyDescent="0.2">
      <c r="A59" s="257"/>
      <c r="B59" s="134" t="str">
        <f>Лист2!D83</f>
        <v>Гуммированная лента</v>
      </c>
      <c r="C59" s="44">
        <f>Лист2!F83</f>
        <v>0.42</v>
      </c>
      <c r="D59" s="44">
        <f>Лист2!H83</f>
        <v>4.2</v>
      </c>
      <c r="E59" s="10">
        <v>5</v>
      </c>
      <c r="F59" s="44">
        <f t="shared" si="4"/>
        <v>0.5</v>
      </c>
      <c r="G59" s="44">
        <f t="shared" si="5"/>
        <v>0.21</v>
      </c>
    </row>
    <row r="60" spans="1:7" x14ac:dyDescent="0.2">
      <c r="A60" s="51" t="s">
        <v>59</v>
      </c>
      <c r="B60" s="51"/>
      <c r="C60" s="10"/>
      <c r="D60" s="10"/>
      <c r="E60" s="10"/>
      <c r="F60" s="44">
        <v>0.65</v>
      </c>
      <c r="G60" s="44">
        <f>SUM(G51:G59)</f>
        <v>880.31999999999994</v>
      </c>
    </row>
    <row r="61" spans="1:7" x14ac:dyDescent="0.2">
      <c r="A61" s="256" t="str">
        <f>Лист2!B87</f>
        <v>Зефир «Десертный»</v>
      </c>
      <c r="B61" s="134" t="str">
        <f>Лист2!D87</f>
        <v>Сахар-песок</v>
      </c>
      <c r="C61" s="44">
        <f>Лист2!F87</f>
        <v>144.27000000000001</v>
      </c>
      <c r="D61" s="44">
        <f>Лист2!H87</f>
        <v>6492.1500000000005</v>
      </c>
      <c r="E61" s="10">
        <v>5</v>
      </c>
      <c r="F61" s="44">
        <f>G61/C61</f>
        <v>4.9999999999999996E-2</v>
      </c>
      <c r="G61" s="44">
        <f>E61*C61/100</f>
        <v>7.2134999999999998</v>
      </c>
    </row>
    <row r="62" spans="1:7" x14ac:dyDescent="0.2">
      <c r="A62" s="257"/>
      <c r="B62" s="134" t="str">
        <f>Лист2!D88</f>
        <v>Патока</v>
      </c>
      <c r="C62" s="44">
        <f>Лист2!F88</f>
        <v>32.97</v>
      </c>
      <c r="D62" s="44">
        <f>Лист2!H88</f>
        <v>1483.6499999999999</v>
      </c>
      <c r="E62" s="10">
        <v>5</v>
      </c>
      <c r="F62" s="44">
        <f t="shared" ref="F62:F69" si="6">G62/C62</f>
        <v>4.9999999999999996E-2</v>
      </c>
      <c r="G62" s="44">
        <f t="shared" ref="G62:G69" si="7">E62*C62/100</f>
        <v>1.6484999999999999</v>
      </c>
    </row>
    <row r="63" spans="1:7" x14ac:dyDescent="0.2">
      <c r="A63" s="257"/>
      <c r="B63" s="134" t="str">
        <f>Лист2!D89</f>
        <v>Пюре яблочное</v>
      </c>
      <c r="C63" s="44">
        <f>Лист2!F89</f>
        <v>81.900000000000006</v>
      </c>
      <c r="D63" s="44">
        <f>Лист2!H89</f>
        <v>3685.5000000000005</v>
      </c>
      <c r="E63" s="10">
        <v>5</v>
      </c>
      <c r="F63" s="44">
        <f t="shared" si="6"/>
        <v>4.9999999999999996E-2</v>
      </c>
      <c r="G63" s="44">
        <f t="shared" si="7"/>
        <v>4.0949999999999998</v>
      </c>
    </row>
    <row r="64" spans="1:7" x14ac:dyDescent="0.2">
      <c r="A64" s="257"/>
      <c r="B64" s="134" t="str">
        <f>Лист2!D90</f>
        <v>Белок яичный</v>
      </c>
      <c r="C64" s="44">
        <f>Лист2!F90</f>
        <v>16.345000000000002</v>
      </c>
      <c r="D64" s="44">
        <f>Лист2!H90</f>
        <v>817.25000000000011</v>
      </c>
      <c r="E64" s="10">
        <v>5</v>
      </c>
      <c r="F64" s="44">
        <f t="shared" si="6"/>
        <v>4.9999999999999996E-2</v>
      </c>
      <c r="G64" s="44">
        <f t="shared" si="7"/>
        <v>0.81725000000000003</v>
      </c>
    </row>
    <row r="65" spans="1:7" x14ac:dyDescent="0.2">
      <c r="A65" s="257"/>
      <c r="B65" s="134" t="str">
        <f>Лист2!D91</f>
        <v>Агар-агар</v>
      </c>
      <c r="C65" s="44">
        <f>Лист2!F91</f>
        <v>1.855</v>
      </c>
      <c r="D65" s="44">
        <f>Лист2!H91</f>
        <v>834.75</v>
      </c>
      <c r="E65" s="10">
        <v>5</v>
      </c>
      <c r="F65" s="44">
        <f t="shared" si="6"/>
        <v>0.05</v>
      </c>
      <c r="G65" s="44">
        <f t="shared" si="7"/>
        <v>9.2749999999999999E-2</v>
      </c>
    </row>
    <row r="66" spans="1:7" x14ac:dyDescent="0.2">
      <c r="A66" s="257"/>
      <c r="B66" s="134" t="str">
        <f>Лист2!D92</f>
        <v>Эссенция ванильная</v>
      </c>
      <c r="C66" s="44">
        <f>Лист2!F92</f>
        <v>0.48999999999999994</v>
      </c>
      <c r="D66" s="44">
        <f>Лист2!H92</f>
        <v>122.49999999999999</v>
      </c>
      <c r="E66" s="10">
        <v>6</v>
      </c>
      <c r="F66" s="44">
        <f t="shared" si="6"/>
        <v>0.06</v>
      </c>
      <c r="G66" s="44">
        <f t="shared" si="7"/>
        <v>2.9399999999999996E-2</v>
      </c>
    </row>
    <row r="67" spans="1:7" x14ac:dyDescent="0.2">
      <c r="A67" s="257"/>
      <c r="B67" s="134" t="str">
        <f>Лист2!D93</f>
        <v>Шоколадная глазурь</v>
      </c>
      <c r="C67" s="44">
        <f>Лист2!F93</f>
        <v>107.41499999999999</v>
      </c>
      <c r="D67" s="44">
        <f>Лист2!H93</f>
        <v>16112.249999999998</v>
      </c>
      <c r="E67" s="10">
        <v>5</v>
      </c>
      <c r="F67" s="44">
        <f t="shared" si="6"/>
        <v>4.9999999999999996E-2</v>
      </c>
      <c r="G67" s="44">
        <f t="shared" si="7"/>
        <v>5.3707499999999992</v>
      </c>
    </row>
    <row r="68" spans="1:7" x14ac:dyDescent="0.2">
      <c r="A68" s="257"/>
      <c r="B68" s="134" t="str">
        <f>Лист2!D94</f>
        <v>Орех сырой</v>
      </c>
      <c r="C68" s="44">
        <f>Лист2!F94</f>
        <v>31.78</v>
      </c>
      <c r="D68" s="44">
        <f>Лист2!H94</f>
        <v>6356</v>
      </c>
      <c r="E68" s="10">
        <v>5</v>
      </c>
      <c r="F68" s="44">
        <f t="shared" si="6"/>
        <v>4.9999999999999996E-2</v>
      </c>
      <c r="G68" s="44">
        <f t="shared" si="7"/>
        <v>1.589</v>
      </c>
    </row>
    <row r="69" spans="1:7" x14ac:dyDescent="0.2">
      <c r="A69" s="257"/>
      <c r="B69" s="134" t="str">
        <f>Лист2!D95</f>
        <v>Гуммированная лента</v>
      </c>
      <c r="C69" s="44">
        <f>Лист2!F95</f>
        <v>0.42</v>
      </c>
      <c r="D69" s="44">
        <f>Лист2!H95</f>
        <v>550</v>
      </c>
      <c r="E69" s="10">
        <v>5</v>
      </c>
      <c r="F69" s="44">
        <f t="shared" si="6"/>
        <v>0.05</v>
      </c>
      <c r="G69" s="44">
        <f t="shared" si="7"/>
        <v>2.1000000000000001E-2</v>
      </c>
    </row>
    <row r="70" spans="1:7" x14ac:dyDescent="0.2">
      <c r="A70" s="51" t="s">
        <v>59</v>
      </c>
      <c r="B70" s="51"/>
      <c r="C70" s="10"/>
      <c r="D70" s="10"/>
      <c r="E70" s="10"/>
      <c r="F70" s="44">
        <f>G70/Лист2!C87</f>
        <v>5.9649000000000001E-2</v>
      </c>
      <c r="G70" s="44">
        <f>SUM(G61:G69)</f>
        <v>20.87715</v>
      </c>
    </row>
    <row r="71" spans="1:7" x14ac:dyDescent="0.2">
      <c r="A71" s="256" t="str">
        <f>Лист2!B99</f>
        <v>Зефир «В шоколаде»</v>
      </c>
      <c r="B71" s="134" t="str">
        <f>Лист2!D99</f>
        <v>Сахар-песок</v>
      </c>
      <c r="C71" s="44">
        <f>Лист2!F99</f>
        <v>155.155</v>
      </c>
      <c r="D71" s="44">
        <f>Лист2!H99</f>
        <v>6981.9750000000004</v>
      </c>
      <c r="E71" s="10">
        <v>5</v>
      </c>
      <c r="F71" s="44">
        <f t="shared" si="4"/>
        <v>2.25</v>
      </c>
      <c r="G71" s="44">
        <f t="shared" si="5"/>
        <v>349.09875</v>
      </c>
    </row>
    <row r="72" spans="1:7" x14ac:dyDescent="0.2">
      <c r="A72" s="257"/>
      <c r="B72" s="134" t="str">
        <f>Лист2!D100</f>
        <v>Патока</v>
      </c>
      <c r="C72" s="44">
        <f>Лист2!F100</f>
        <v>32.130000000000003</v>
      </c>
      <c r="D72" s="44">
        <f>Лист2!H100</f>
        <v>1445.8500000000001</v>
      </c>
      <c r="E72" s="10">
        <v>5</v>
      </c>
      <c r="F72" s="44">
        <f t="shared" si="4"/>
        <v>2.25</v>
      </c>
      <c r="G72" s="44">
        <f t="shared" si="5"/>
        <v>72.292500000000004</v>
      </c>
    </row>
    <row r="73" spans="1:7" x14ac:dyDescent="0.2">
      <c r="A73" s="257"/>
      <c r="B73" s="134" t="str">
        <f>Лист2!D101</f>
        <v>Пюре яблочное</v>
      </c>
      <c r="C73" s="44">
        <f>Лист2!F101</f>
        <v>89.95</v>
      </c>
      <c r="D73" s="44">
        <f>Лист2!H101</f>
        <v>4047.75</v>
      </c>
      <c r="E73" s="10">
        <v>5</v>
      </c>
      <c r="F73" s="44">
        <f t="shared" si="4"/>
        <v>2.25</v>
      </c>
      <c r="G73" s="44">
        <f t="shared" si="5"/>
        <v>202.38749999999999</v>
      </c>
    </row>
    <row r="74" spans="1:7" x14ac:dyDescent="0.2">
      <c r="A74" s="257"/>
      <c r="B74" s="134" t="str">
        <f>Лист2!D102</f>
        <v>Белок яичный</v>
      </c>
      <c r="C74" s="44">
        <f>Лист2!F102</f>
        <v>14.875</v>
      </c>
      <c r="D74" s="44">
        <f>Лист2!H102</f>
        <v>743.75</v>
      </c>
      <c r="E74" s="10">
        <v>5</v>
      </c>
      <c r="F74" s="44">
        <f t="shared" si="4"/>
        <v>2.5</v>
      </c>
      <c r="G74" s="44">
        <f t="shared" si="5"/>
        <v>37.1875</v>
      </c>
    </row>
    <row r="75" spans="1:7" x14ac:dyDescent="0.2">
      <c r="A75" s="257"/>
      <c r="B75" s="134" t="str">
        <f>Лист2!D103</f>
        <v>Кислота молочная</v>
      </c>
      <c r="C75" s="44">
        <f>Лист2!F103</f>
        <v>1.575</v>
      </c>
      <c r="D75" s="44">
        <f>Лист2!H103</f>
        <v>189</v>
      </c>
      <c r="E75" s="10">
        <v>6</v>
      </c>
      <c r="F75" s="44">
        <f t="shared" si="4"/>
        <v>7.2</v>
      </c>
      <c r="G75" s="44">
        <f t="shared" si="5"/>
        <v>11.34</v>
      </c>
    </row>
    <row r="76" spans="1:7" x14ac:dyDescent="0.2">
      <c r="A76" s="257"/>
      <c r="B76" s="134" t="str">
        <f>Лист2!D104</f>
        <v>Агар-агар</v>
      </c>
      <c r="C76" s="44">
        <f>Лист2!F104</f>
        <v>1.9599999999999997</v>
      </c>
      <c r="D76" s="44">
        <f>Лист2!H104</f>
        <v>881.99999999999989</v>
      </c>
      <c r="E76" s="10">
        <v>5</v>
      </c>
      <c r="F76" s="44">
        <f t="shared" si="4"/>
        <v>22.5</v>
      </c>
      <c r="G76" s="44">
        <f t="shared" si="5"/>
        <v>44.099999999999994</v>
      </c>
    </row>
    <row r="77" spans="1:7" x14ac:dyDescent="0.2">
      <c r="A77" s="257"/>
      <c r="B77" s="134" t="str">
        <f>Лист2!D105</f>
        <v>Эссенция ванильная</v>
      </c>
      <c r="C77" s="44">
        <f>Лист2!F105</f>
        <v>0.45500000000000002</v>
      </c>
      <c r="D77" s="44">
        <f>Лист2!H105</f>
        <v>113.75</v>
      </c>
      <c r="E77" s="10">
        <v>5</v>
      </c>
      <c r="F77" s="44">
        <f t="shared" si="4"/>
        <v>12.5</v>
      </c>
      <c r="G77" s="44">
        <f t="shared" si="5"/>
        <v>5.6875</v>
      </c>
    </row>
    <row r="78" spans="1:7" x14ac:dyDescent="0.2">
      <c r="A78" s="257"/>
      <c r="B78" s="134" t="str">
        <f>Лист2!D106</f>
        <v>Шоколадная глазурь</v>
      </c>
      <c r="C78" s="44">
        <f>Лист2!F106</f>
        <v>125.405</v>
      </c>
      <c r="D78" s="44">
        <f>Лист2!H106</f>
        <v>18810.75</v>
      </c>
      <c r="E78" s="10">
        <v>5</v>
      </c>
      <c r="F78" s="44">
        <f t="shared" si="4"/>
        <v>7.5</v>
      </c>
      <c r="G78" s="44">
        <f t="shared" si="5"/>
        <v>940.53750000000002</v>
      </c>
    </row>
    <row r="79" spans="1:7" x14ac:dyDescent="0.2">
      <c r="A79" s="257"/>
      <c r="B79" s="134" t="str">
        <f>Лист2!D107</f>
        <v>Бумага парафинированная</v>
      </c>
      <c r="C79" s="44">
        <f>Лист2!F107</f>
        <v>3.5</v>
      </c>
      <c r="D79" s="44">
        <f>Лист2!H107</f>
        <v>70</v>
      </c>
      <c r="E79" s="10">
        <v>5</v>
      </c>
      <c r="F79" s="44">
        <f t="shared" si="4"/>
        <v>1</v>
      </c>
      <c r="G79" s="44">
        <f t="shared" si="5"/>
        <v>3.5</v>
      </c>
    </row>
    <row r="80" spans="1:7" x14ac:dyDescent="0.2">
      <c r="A80" s="257"/>
      <c r="B80" s="134" t="str">
        <f>Лист2!D108</f>
        <v>Гуммированная лента</v>
      </c>
      <c r="C80" s="44">
        <f>Лист2!F108</f>
        <v>1.155</v>
      </c>
      <c r="D80" s="44">
        <f>Лист2!H108</f>
        <v>11.55</v>
      </c>
      <c r="E80" s="10">
        <v>5</v>
      </c>
      <c r="F80" s="44">
        <f t="shared" si="4"/>
        <v>0.5</v>
      </c>
      <c r="G80" s="44">
        <f t="shared" si="5"/>
        <v>0.57750000000000001</v>
      </c>
    </row>
    <row r="81" spans="1:7" x14ac:dyDescent="0.2">
      <c r="A81" s="51" t="s">
        <v>59</v>
      </c>
      <c r="B81" s="134"/>
      <c r="C81" s="10"/>
      <c r="D81" s="10"/>
      <c r="E81" s="10"/>
      <c r="F81" s="44">
        <f>G81/Лист2!E13</f>
        <v>4.7620250000000004</v>
      </c>
      <c r="G81" s="44">
        <f>SUM(G71:G80)</f>
        <v>1666.70875</v>
      </c>
    </row>
    <row r="82" spans="1:7" x14ac:dyDescent="0.2">
      <c r="A82" s="256" t="str">
        <f>Лист2!B111</f>
        <v>Зефир «Яблочный»</v>
      </c>
      <c r="B82" s="51" t="str">
        <f>Лист2!D111</f>
        <v>Сахар-песок</v>
      </c>
      <c r="C82" s="44">
        <f>Лист2!F111</f>
        <v>235.02500000000001</v>
      </c>
      <c r="D82" s="44">
        <f>Лист2!H111</f>
        <v>10576.125</v>
      </c>
      <c r="E82" s="10">
        <v>5</v>
      </c>
      <c r="F82" s="44">
        <f t="shared" si="4"/>
        <v>2.25</v>
      </c>
      <c r="G82" s="44">
        <f t="shared" si="5"/>
        <v>528.80624999999998</v>
      </c>
    </row>
    <row r="83" spans="1:7" x14ac:dyDescent="0.2">
      <c r="A83" s="257"/>
      <c r="B83" s="51" t="str">
        <f>Лист2!D112</f>
        <v>Патока</v>
      </c>
      <c r="C83" s="44">
        <f>Лист2!F112</f>
        <v>48.79</v>
      </c>
      <c r="D83" s="44">
        <f>Лист2!H112</f>
        <v>2195.5500000000002</v>
      </c>
      <c r="E83" s="10">
        <v>5</v>
      </c>
      <c r="F83" s="44">
        <f t="shared" si="4"/>
        <v>2.25</v>
      </c>
      <c r="G83" s="44">
        <f t="shared" si="5"/>
        <v>109.7775</v>
      </c>
    </row>
    <row r="84" spans="1:7" x14ac:dyDescent="0.2">
      <c r="A84" s="257"/>
      <c r="B84" s="51" t="str">
        <f>Лист2!D113</f>
        <v>Пюре яблочное</v>
      </c>
      <c r="C84" s="44">
        <f>Лист2!F113</f>
        <v>136.15</v>
      </c>
      <c r="D84" s="44">
        <f>Лист2!H113</f>
        <v>6126.75</v>
      </c>
      <c r="E84" s="10">
        <v>5</v>
      </c>
      <c r="F84" s="44">
        <f t="shared" si="4"/>
        <v>2.2499999999999996</v>
      </c>
      <c r="G84" s="44">
        <f t="shared" si="5"/>
        <v>306.33749999999998</v>
      </c>
    </row>
    <row r="85" spans="1:7" x14ac:dyDescent="0.2">
      <c r="A85" s="257"/>
      <c r="B85" s="51" t="str">
        <f>Лист2!D114</f>
        <v>Белок яичный</v>
      </c>
      <c r="C85" s="44">
        <f>Лист2!F114</f>
        <v>22.75</v>
      </c>
      <c r="D85" s="44">
        <f>Лист2!H114</f>
        <v>1137.5</v>
      </c>
      <c r="E85" s="10">
        <v>5</v>
      </c>
      <c r="F85" s="44">
        <f t="shared" si="4"/>
        <v>2.5</v>
      </c>
      <c r="G85" s="44">
        <f t="shared" si="5"/>
        <v>56.875</v>
      </c>
    </row>
    <row r="86" spans="1:7" x14ac:dyDescent="0.2">
      <c r="A86" s="257"/>
      <c r="B86" s="51" t="str">
        <f>Лист2!D115</f>
        <v>Кислота молочная</v>
      </c>
      <c r="C86" s="44">
        <f>Лист2!F115</f>
        <v>2.3450000000000002</v>
      </c>
      <c r="D86" s="44">
        <f>Лист2!H115</f>
        <v>281.40000000000003</v>
      </c>
      <c r="E86" s="10">
        <v>5</v>
      </c>
      <c r="F86" s="44">
        <f t="shared" si="4"/>
        <v>6</v>
      </c>
      <c r="G86" s="44">
        <f t="shared" si="5"/>
        <v>14.070000000000002</v>
      </c>
    </row>
    <row r="87" spans="1:7" x14ac:dyDescent="0.2">
      <c r="A87" s="257"/>
      <c r="B87" s="51" t="str">
        <f>Лист2!D116</f>
        <v>Агар-агар</v>
      </c>
      <c r="C87" s="44">
        <f>Лист2!F116</f>
        <v>3.01</v>
      </c>
      <c r="D87" s="44">
        <f>Лист2!H116</f>
        <v>1354.5</v>
      </c>
      <c r="E87" s="10">
        <v>6</v>
      </c>
      <c r="F87" s="44">
        <f t="shared" si="4"/>
        <v>27</v>
      </c>
      <c r="G87" s="44">
        <f t="shared" si="5"/>
        <v>81.27</v>
      </c>
    </row>
    <row r="88" spans="1:7" x14ac:dyDescent="0.2">
      <c r="A88" s="257"/>
      <c r="B88" s="51" t="str">
        <f>Лист2!D117</f>
        <v>Корица молотая</v>
      </c>
      <c r="C88" s="44">
        <f>Лист2!F117</f>
        <v>0.56000000000000005</v>
      </c>
      <c r="D88" s="44">
        <f>Лист2!H117</f>
        <v>280</v>
      </c>
      <c r="E88" s="10">
        <v>5</v>
      </c>
      <c r="F88" s="44">
        <f t="shared" si="4"/>
        <v>24.999999999999996</v>
      </c>
      <c r="G88" s="44">
        <f t="shared" si="5"/>
        <v>14</v>
      </c>
    </row>
    <row r="89" spans="1:7" x14ac:dyDescent="0.2">
      <c r="A89" s="257"/>
      <c r="B89" s="51" t="str">
        <f>Лист2!D118</f>
        <v>Бумага парафинированная</v>
      </c>
      <c r="C89" s="44">
        <f>Лист2!F118</f>
        <v>3.5</v>
      </c>
      <c r="D89" s="44">
        <f>Лист2!H118</f>
        <v>70</v>
      </c>
      <c r="E89" s="10">
        <v>5</v>
      </c>
      <c r="F89" s="44">
        <f t="shared" si="4"/>
        <v>1</v>
      </c>
      <c r="G89" s="44">
        <f t="shared" si="5"/>
        <v>3.5</v>
      </c>
    </row>
    <row r="90" spans="1:7" x14ac:dyDescent="0.2">
      <c r="A90" s="257"/>
      <c r="B90" s="51" t="str">
        <f>Лист2!D119</f>
        <v>Гуммированная лента</v>
      </c>
      <c r="C90" s="44">
        <f>Лист2!F119</f>
        <v>1.155</v>
      </c>
      <c r="D90" s="44">
        <f>Лист2!H119</f>
        <v>11.55</v>
      </c>
      <c r="E90" s="10">
        <v>5</v>
      </c>
      <c r="F90" s="44">
        <f t="shared" si="4"/>
        <v>0.5</v>
      </c>
      <c r="G90" s="44">
        <f t="shared" si="5"/>
        <v>0.57750000000000001</v>
      </c>
    </row>
    <row r="91" spans="1:7" x14ac:dyDescent="0.2">
      <c r="A91" s="257"/>
      <c r="B91" s="51" t="str">
        <f>Лист2!D120</f>
        <v>Гофркороба</v>
      </c>
      <c r="C91" s="44">
        <f>Лист2!F120</f>
        <v>116.9</v>
      </c>
      <c r="D91" s="44">
        <f>Лист2!H120</f>
        <v>2104.2000000000003</v>
      </c>
      <c r="E91" s="10">
        <v>5</v>
      </c>
      <c r="F91" s="44">
        <f t="shared" si="4"/>
        <v>0.90000000000000013</v>
      </c>
      <c r="G91" s="44">
        <f t="shared" si="5"/>
        <v>105.21000000000002</v>
      </c>
    </row>
    <row r="92" spans="1:7" x14ac:dyDescent="0.2">
      <c r="A92" s="51" t="s">
        <v>59</v>
      </c>
      <c r="B92" s="51"/>
      <c r="C92" s="10"/>
      <c r="D92" s="10"/>
      <c r="E92" s="10"/>
      <c r="F92" s="44">
        <f>G92/Лист2!E15</f>
        <v>3.2544633333333337</v>
      </c>
      <c r="G92" s="44">
        <f>SUM(G82:G91)</f>
        <v>1220.4237500000002</v>
      </c>
    </row>
    <row r="93" spans="1:7" x14ac:dyDescent="0.2">
      <c r="A93" s="256" t="str">
        <f>Лист2!B122</f>
        <v>Зефир «Маршмеллоу»</v>
      </c>
      <c r="B93" s="51" t="str">
        <f>Лист2!D122</f>
        <v>Сахар-песок</v>
      </c>
      <c r="C93" s="44">
        <f>Лист2!F122</f>
        <v>155.92500000000001</v>
      </c>
      <c r="D93" s="44">
        <f>Лист2!H122</f>
        <v>7016.6250000000009</v>
      </c>
      <c r="E93" s="10">
        <v>5</v>
      </c>
      <c r="F93" s="44">
        <f>G93/C93</f>
        <v>2.2500000000000004</v>
      </c>
      <c r="G93" s="44">
        <f>E93*D93/100</f>
        <v>350.83125000000007</v>
      </c>
    </row>
    <row r="94" spans="1:7" x14ac:dyDescent="0.2">
      <c r="A94" s="257"/>
      <c r="B94" s="51" t="str">
        <f>Лист2!D123</f>
        <v>Патока</v>
      </c>
      <c r="C94" s="44">
        <f>Лист2!F123</f>
        <v>158.4375</v>
      </c>
      <c r="D94" s="44">
        <f>Лист2!H123</f>
        <v>7129.6875</v>
      </c>
      <c r="E94" s="10">
        <v>5</v>
      </c>
      <c r="F94" s="44">
        <f t="shared" ref="F94:F101" si="8">G94/C94</f>
        <v>2.25</v>
      </c>
      <c r="G94" s="44">
        <f t="shared" ref="G94:G101" si="9">E94*D94/100</f>
        <v>356.484375</v>
      </c>
    </row>
    <row r="95" spans="1:7" x14ac:dyDescent="0.2">
      <c r="A95" s="257"/>
      <c r="B95" s="51" t="str">
        <f>Лист2!D124</f>
        <v>Кислота лимонная</v>
      </c>
      <c r="C95" s="44">
        <f>Лист2!F124</f>
        <v>0.53625</v>
      </c>
      <c r="D95" s="44">
        <f>Лист2!H124</f>
        <v>53.625</v>
      </c>
      <c r="E95" s="10">
        <v>5</v>
      </c>
      <c r="F95" s="44">
        <f t="shared" si="8"/>
        <v>5</v>
      </c>
      <c r="G95" s="44">
        <f t="shared" si="9"/>
        <v>2.6812499999999999</v>
      </c>
    </row>
    <row r="96" spans="1:7" x14ac:dyDescent="0.2">
      <c r="A96" s="257"/>
      <c r="B96" s="51" t="str">
        <f>Лист2!D125</f>
        <v>Эссенция ванильная</v>
      </c>
      <c r="C96" s="44">
        <f>Лист2!F125</f>
        <v>0.5625</v>
      </c>
      <c r="D96" s="44">
        <f>Лист2!H125</f>
        <v>140.625</v>
      </c>
      <c r="E96" s="10">
        <v>5</v>
      </c>
      <c r="F96" s="44">
        <f t="shared" si="8"/>
        <v>12.5</v>
      </c>
      <c r="G96" s="44">
        <f t="shared" si="9"/>
        <v>7.03125</v>
      </c>
    </row>
    <row r="97" spans="1:7" x14ac:dyDescent="0.2">
      <c r="A97" s="257"/>
      <c r="B97" s="51" t="str">
        <f>Лист2!D126</f>
        <v>Желатин пищевой</v>
      </c>
      <c r="C97" s="44">
        <f>Лист2!F126</f>
        <v>15</v>
      </c>
      <c r="D97" s="44">
        <f>Лист2!H126</f>
        <v>6750</v>
      </c>
      <c r="E97" s="10">
        <v>6</v>
      </c>
      <c r="F97" s="44">
        <f t="shared" si="8"/>
        <v>27</v>
      </c>
      <c r="G97" s="44">
        <f t="shared" si="9"/>
        <v>405</v>
      </c>
    </row>
    <row r="98" spans="1:7" x14ac:dyDescent="0.2">
      <c r="A98" s="257"/>
      <c r="B98" s="51" t="str">
        <f>Лист2!D127</f>
        <v>Сорбит</v>
      </c>
      <c r="C98" s="44">
        <f>Лист2!F127</f>
        <v>7.875</v>
      </c>
      <c r="D98" s="44">
        <f>Лист2!H127</f>
        <v>2362.5</v>
      </c>
      <c r="E98" s="10">
        <v>5</v>
      </c>
      <c r="F98" s="44">
        <f t="shared" si="8"/>
        <v>15</v>
      </c>
      <c r="G98" s="44">
        <f t="shared" si="9"/>
        <v>118.125</v>
      </c>
    </row>
    <row r="99" spans="1:7" x14ac:dyDescent="0.2">
      <c r="A99" s="257"/>
      <c r="B99" s="51" t="str">
        <f>Лист2!D128</f>
        <v>Гуммированная лента</v>
      </c>
      <c r="C99" s="44">
        <f>Лист2!F128</f>
        <v>0.15</v>
      </c>
      <c r="D99" s="44">
        <f>Лист2!H128</f>
        <v>1.5</v>
      </c>
      <c r="E99" s="10">
        <v>7</v>
      </c>
      <c r="F99" s="44">
        <f t="shared" si="8"/>
        <v>0.7</v>
      </c>
      <c r="G99" s="44">
        <f t="shared" si="9"/>
        <v>0.105</v>
      </c>
    </row>
    <row r="100" spans="1:7" x14ac:dyDescent="0.2">
      <c r="A100" s="257"/>
      <c r="B100" s="51" t="str">
        <f>Лист2!D129</f>
        <v>Полителен</v>
      </c>
      <c r="C100" s="44">
        <f>Лист2!F129</f>
        <v>3.75</v>
      </c>
      <c r="D100" s="44">
        <f>Лист2!H129</f>
        <v>56.25</v>
      </c>
      <c r="E100" s="10">
        <v>5</v>
      </c>
      <c r="F100" s="44">
        <f t="shared" si="8"/>
        <v>0.75</v>
      </c>
      <c r="G100" s="44">
        <f t="shared" si="9"/>
        <v>2.8125</v>
      </c>
    </row>
    <row r="101" spans="1:7" x14ac:dyDescent="0.2">
      <c r="A101" s="257"/>
      <c r="B101" s="51" t="str">
        <f>Лист2!D130</f>
        <v>Гофркороба</v>
      </c>
      <c r="C101" s="44">
        <f>Лист2!F130</f>
        <v>27.75</v>
      </c>
      <c r="D101" s="44">
        <f>Лист2!H130</f>
        <v>555</v>
      </c>
      <c r="E101" s="10">
        <v>5</v>
      </c>
      <c r="F101" s="44">
        <f t="shared" si="8"/>
        <v>1</v>
      </c>
      <c r="G101" s="44">
        <f t="shared" si="9"/>
        <v>27.75</v>
      </c>
    </row>
    <row r="102" spans="1:7" x14ac:dyDescent="0.2">
      <c r="A102" s="51" t="s">
        <v>59</v>
      </c>
      <c r="B102" s="51"/>
      <c r="C102" s="10"/>
      <c r="D102" s="10"/>
      <c r="E102" s="10"/>
      <c r="F102" s="44">
        <f>G102/Лист2!C122</f>
        <v>3.388855</v>
      </c>
      <c r="G102" s="44">
        <f>SUM(G93:G101)</f>
        <v>1270.8206250000001</v>
      </c>
    </row>
  </sheetData>
  <mergeCells count="19">
    <mergeCell ref="A8:A16"/>
    <mergeCell ref="A18:A25"/>
    <mergeCell ref="A61:A69"/>
    <mergeCell ref="A82:A91"/>
    <mergeCell ref="A93:A101"/>
    <mergeCell ref="A27:A38"/>
    <mergeCell ref="A40:A49"/>
    <mergeCell ref="A51:A59"/>
    <mergeCell ref="A71:A80"/>
    <mergeCell ref="C2:I2"/>
    <mergeCell ref="A4:A6"/>
    <mergeCell ref="B4:B6"/>
    <mergeCell ref="C4:D4"/>
    <mergeCell ref="E4:E6"/>
    <mergeCell ref="F4:G4"/>
    <mergeCell ref="C5:C6"/>
    <mergeCell ref="D5:D6"/>
    <mergeCell ref="F5:F6"/>
    <mergeCell ref="G5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"/>
  <sheetViews>
    <sheetView zoomScale="85" zoomScaleNormal="85" workbookViewId="0">
      <selection activeCell="M8" sqref="M8"/>
    </sheetView>
  </sheetViews>
  <sheetFormatPr defaultRowHeight="12.75" x14ac:dyDescent="0.2"/>
  <cols>
    <col min="1" max="1" width="29.85546875" customWidth="1"/>
    <col min="2" max="3" width="9.85546875" customWidth="1"/>
    <col min="4" max="4" width="10.28515625" customWidth="1"/>
    <col min="5" max="6" width="10.5703125" customWidth="1"/>
    <col min="7" max="7" width="11.7109375" customWidth="1"/>
    <col min="8" max="19" width="9.140625" customWidth="1"/>
    <col min="20" max="20" width="11.42578125" bestFit="1" customWidth="1"/>
  </cols>
  <sheetData>
    <row r="1" spans="1:19" ht="18.75" x14ac:dyDescent="0.3">
      <c r="A1" s="255" t="s">
        <v>107</v>
      </c>
      <c r="B1" s="255"/>
      <c r="C1" s="255"/>
      <c r="D1" s="255"/>
      <c r="E1" s="255"/>
      <c r="F1" s="255"/>
      <c r="G1" s="255"/>
      <c r="H1" s="255"/>
      <c r="I1" s="255"/>
      <c r="J1" s="255"/>
      <c r="K1" s="80"/>
      <c r="L1" s="80"/>
      <c r="M1" s="80"/>
      <c r="N1" s="80"/>
      <c r="O1" s="80"/>
      <c r="P1" s="80"/>
      <c r="Q1" s="80"/>
      <c r="R1" s="80"/>
      <c r="S1" s="80"/>
    </row>
    <row r="4" spans="1:19" ht="16.5" customHeight="1" x14ac:dyDescent="0.25">
      <c r="A4" s="258" t="s">
        <v>15</v>
      </c>
      <c r="B4" s="259" t="s">
        <v>108</v>
      </c>
      <c r="C4" s="260"/>
      <c r="D4" s="260"/>
      <c r="E4" s="260"/>
      <c r="F4" s="260"/>
      <c r="G4" s="260"/>
      <c r="H4" s="260"/>
      <c r="I4" s="260"/>
      <c r="J4" s="261"/>
      <c r="K4" s="193" t="s">
        <v>16</v>
      </c>
    </row>
    <row r="5" spans="1:19" ht="38.25" x14ac:dyDescent="0.25">
      <c r="A5" s="230"/>
      <c r="B5" s="67" t="str">
        <f>Лист2!B7</f>
        <v>Пастила «Двухслойная»</v>
      </c>
      <c r="C5" s="67" t="str">
        <f>Лист2!B8</f>
        <v>Пастила «Малиновая»</v>
      </c>
      <c r="D5" s="67" t="str">
        <f>Лист2!B9</f>
        <v>Пастила «Клюквенная»</v>
      </c>
      <c r="E5" s="67" t="str">
        <f>Лист2!B10</f>
        <v>Зефир «Сливочный»</v>
      </c>
      <c r="F5" s="67" t="str">
        <f>Лист2!B11</f>
        <v>Зефир «Киевский»</v>
      </c>
      <c r="G5" s="67" t="str">
        <f>Лист2!B87</f>
        <v>Зефир «Десертный»</v>
      </c>
      <c r="H5" s="67" t="str">
        <f>Лист2!B13</f>
        <v>Зефир «В шоколаде»</v>
      </c>
      <c r="I5" s="67" t="str">
        <f>Лист2!B14</f>
        <v>Зефир «Яблочный»</v>
      </c>
      <c r="J5" s="67" t="str">
        <f>Лист2!B15</f>
        <v>Зефир «Маршмеллоу»</v>
      </c>
      <c r="K5" s="194"/>
    </row>
    <row r="6" spans="1:19" ht="23.25" customHeight="1" x14ac:dyDescent="0.2">
      <c r="A6" s="77" t="s">
        <v>7</v>
      </c>
      <c r="B6" s="53">
        <f>Лист2!E7</f>
        <v>250</v>
      </c>
      <c r="C6" s="53">
        <f>Лист2!E8</f>
        <v>125</v>
      </c>
      <c r="D6" s="53">
        <f>Лист2!E9</f>
        <v>125</v>
      </c>
      <c r="E6" s="53">
        <f>Лист2!E10</f>
        <v>350</v>
      </c>
      <c r="F6" s="53">
        <f>Лист2!E11</f>
        <v>350</v>
      </c>
      <c r="G6" s="53">
        <f>Лист2!C87</f>
        <v>350</v>
      </c>
      <c r="H6" s="53">
        <f>Лист2!E13</f>
        <v>350</v>
      </c>
      <c r="I6" s="53">
        <f>Лист2!E14</f>
        <v>350</v>
      </c>
      <c r="J6" s="53">
        <f>Лист2!E15</f>
        <v>375</v>
      </c>
      <c r="K6" s="53">
        <f>SUM(B6:J6)</f>
        <v>2625</v>
      </c>
    </row>
    <row r="7" spans="1:19" ht="31.5" customHeight="1" x14ac:dyDescent="0.2">
      <c r="A7" s="76" t="s">
        <v>109</v>
      </c>
      <c r="B7" s="123">
        <v>185</v>
      </c>
      <c r="C7" s="123">
        <v>185</v>
      </c>
      <c r="D7" s="123">
        <v>185</v>
      </c>
      <c r="E7" s="123">
        <v>185</v>
      </c>
      <c r="F7" s="123">
        <v>185</v>
      </c>
      <c r="G7" s="123">
        <v>185</v>
      </c>
      <c r="H7" s="123">
        <v>185</v>
      </c>
      <c r="I7" s="123">
        <v>185</v>
      </c>
      <c r="J7" s="123">
        <v>185</v>
      </c>
      <c r="K7" s="123" t="s">
        <v>110</v>
      </c>
    </row>
    <row r="8" spans="1:19" ht="32.25" customHeight="1" x14ac:dyDescent="0.2">
      <c r="A8" s="77" t="s">
        <v>111</v>
      </c>
      <c r="B8" s="53">
        <f>B6*B7/1000</f>
        <v>46.25</v>
      </c>
      <c r="C8" s="53">
        <f t="shared" ref="C8:J8" si="0">C6*C7/1000</f>
        <v>23.125</v>
      </c>
      <c r="D8" s="53">
        <f t="shared" si="0"/>
        <v>23.125</v>
      </c>
      <c r="E8" s="53">
        <f t="shared" si="0"/>
        <v>64.75</v>
      </c>
      <c r="F8" s="53">
        <f t="shared" si="0"/>
        <v>64.75</v>
      </c>
      <c r="G8" s="53">
        <f t="shared" si="0"/>
        <v>64.75</v>
      </c>
      <c r="H8" s="53">
        <f t="shared" si="0"/>
        <v>64.75</v>
      </c>
      <c r="I8" s="53">
        <f t="shared" si="0"/>
        <v>64.75</v>
      </c>
      <c r="J8" s="53">
        <f t="shared" si="0"/>
        <v>69.375</v>
      </c>
      <c r="K8" s="53">
        <f>SUM(B8:J8)</f>
        <v>485.625</v>
      </c>
    </row>
    <row r="9" spans="1:19" ht="20.25" customHeight="1" x14ac:dyDescent="0.2">
      <c r="A9" s="77" t="s">
        <v>112</v>
      </c>
      <c r="B9" s="262" t="s">
        <v>113</v>
      </c>
      <c r="C9" s="263"/>
      <c r="D9" s="263"/>
      <c r="E9" s="263"/>
      <c r="F9" s="263"/>
      <c r="G9" s="263"/>
      <c r="H9" s="263"/>
      <c r="I9" s="263"/>
      <c r="J9" s="263"/>
      <c r="K9" s="263"/>
    </row>
    <row r="10" spans="1:19" ht="24.75" customHeight="1" x14ac:dyDescent="0.2">
      <c r="A10" s="77" t="s">
        <v>114</v>
      </c>
      <c r="B10" s="262">
        <v>1.17</v>
      </c>
      <c r="C10" s="263"/>
      <c r="D10" s="263"/>
      <c r="E10" s="263"/>
      <c r="F10" s="263"/>
      <c r="G10" s="263"/>
      <c r="H10" s="263"/>
      <c r="I10" s="263"/>
      <c r="J10" s="263"/>
      <c r="K10" s="263"/>
    </row>
    <row r="11" spans="1:19" ht="36.75" customHeight="1" x14ac:dyDescent="0.2">
      <c r="A11" s="77" t="s">
        <v>115</v>
      </c>
      <c r="B11" s="53">
        <f t="shared" ref="B11:J11" si="1">B8/1.17</f>
        <v>39.529914529914535</v>
      </c>
      <c r="C11" s="53">
        <f t="shared" si="1"/>
        <v>19.764957264957268</v>
      </c>
      <c r="D11" s="53">
        <f t="shared" si="1"/>
        <v>19.764957264957268</v>
      </c>
      <c r="E11" s="53">
        <f t="shared" si="1"/>
        <v>55.341880341880348</v>
      </c>
      <c r="F11" s="53">
        <f t="shared" si="1"/>
        <v>55.341880341880348</v>
      </c>
      <c r="G11" s="53">
        <f t="shared" si="1"/>
        <v>55.341880341880348</v>
      </c>
      <c r="H11" s="53">
        <f t="shared" si="1"/>
        <v>55.341880341880348</v>
      </c>
      <c r="I11" s="53">
        <f t="shared" si="1"/>
        <v>55.341880341880348</v>
      </c>
      <c r="J11" s="53">
        <f t="shared" si="1"/>
        <v>59.294871794871796</v>
      </c>
      <c r="K11" s="53">
        <f>SUM(B11:J11)</f>
        <v>415.06410256410265</v>
      </c>
    </row>
    <row r="12" spans="1:19" ht="31.5" customHeight="1" x14ac:dyDescent="0.2">
      <c r="A12" s="77" t="s">
        <v>116</v>
      </c>
      <c r="B12" s="262">
        <v>1.36</v>
      </c>
      <c r="C12" s="263"/>
      <c r="D12" s="263"/>
      <c r="E12" s="263"/>
      <c r="F12" s="263"/>
      <c r="G12" s="263"/>
      <c r="H12" s="263"/>
      <c r="I12" s="263"/>
      <c r="J12" s="263"/>
      <c r="K12" s="263"/>
    </row>
    <row r="13" spans="1:19" ht="31.5" customHeight="1" x14ac:dyDescent="0.2">
      <c r="A13" s="77" t="s">
        <v>117</v>
      </c>
      <c r="B13" s="53">
        <f>B15*0.8</f>
        <v>43.008547008547019</v>
      </c>
      <c r="C13" s="53">
        <f t="shared" ref="C13:J13" si="2">C15*0.8</f>
        <v>21.50427350427351</v>
      </c>
      <c r="D13" s="53">
        <f t="shared" si="2"/>
        <v>21.50427350427351</v>
      </c>
      <c r="E13" s="53">
        <f t="shared" si="2"/>
        <v>60.211965811965825</v>
      </c>
      <c r="F13" s="53">
        <f t="shared" si="2"/>
        <v>60.211965811965825</v>
      </c>
      <c r="G13" s="53">
        <f t="shared" si="2"/>
        <v>60.211965811965825</v>
      </c>
      <c r="H13" s="53">
        <f t="shared" si="2"/>
        <v>60.211965811965825</v>
      </c>
      <c r="I13" s="53">
        <f t="shared" si="2"/>
        <v>60.211965811965825</v>
      </c>
      <c r="J13" s="53">
        <f t="shared" si="2"/>
        <v>64.512820512820525</v>
      </c>
      <c r="K13" s="53">
        <f>SUM(B13:J13)</f>
        <v>451.58974358974365</v>
      </c>
    </row>
    <row r="14" spans="1:19" ht="34.5" customHeight="1" x14ac:dyDescent="0.2">
      <c r="A14" s="77" t="s">
        <v>118</v>
      </c>
      <c r="B14" s="53">
        <f>B15*0.2</f>
        <v>10.752136752136755</v>
      </c>
      <c r="C14" s="53">
        <f t="shared" ref="C14:J14" si="3">C15*0.2</f>
        <v>5.3760683760683774</v>
      </c>
      <c r="D14" s="53">
        <f t="shared" si="3"/>
        <v>5.3760683760683774</v>
      </c>
      <c r="E14" s="53">
        <f t="shared" si="3"/>
        <v>15.052991452991456</v>
      </c>
      <c r="F14" s="53">
        <f t="shared" si="3"/>
        <v>15.052991452991456</v>
      </c>
      <c r="G14" s="53">
        <f t="shared" si="3"/>
        <v>15.052991452991456</v>
      </c>
      <c r="H14" s="53">
        <f t="shared" si="3"/>
        <v>15.052991452991456</v>
      </c>
      <c r="I14" s="53">
        <f t="shared" si="3"/>
        <v>15.052991452991456</v>
      </c>
      <c r="J14" s="53">
        <f t="shared" si="3"/>
        <v>16.128205128205131</v>
      </c>
      <c r="K14" s="53">
        <f>SUM(B14:J14)</f>
        <v>112.89743589743591</v>
      </c>
    </row>
    <row r="15" spans="1:19" ht="17.25" customHeight="1" x14ac:dyDescent="0.2">
      <c r="A15" s="77" t="s">
        <v>119</v>
      </c>
      <c r="B15" s="53">
        <f>B11*1.36</f>
        <v>53.760683760683769</v>
      </c>
      <c r="C15" s="53">
        <f t="shared" ref="C15:J15" si="4">C11*1.36</f>
        <v>26.880341880341884</v>
      </c>
      <c r="D15" s="53">
        <f t="shared" si="4"/>
        <v>26.880341880341884</v>
      </c>
      <c r="E15" s="53">
        <f t="shared" si="4"/>
        <v>75.264957264957275</v>
      </c>
      <c r="F15" s="53">
        <f t="shared" si="4"/>
        <v>75.264957264957275</v>
      </c>
      <c r="G15" s="53">
        <f t="shared" si="4"/>
        <v>75.264957264957275</v>
      </c>
      <c r="H15" s="53">
        <f t="shared" si="4"/>
        <v>75.264957264957275</v>
      </c>
      <c r="I15" s="53">
        <f t="shared" si="4"/>
        <v>75.264957264957275</v>
      </c>
      <c r="J15" s="53">
        <f t="shared" si="4"/>
        <v>80.641025641025649</v>
      </c>
      <c r="K15" s="53">
        <f>SUM(B15:J15)</f>
        <v>564.48717948717956</v>
      </c>
    </row>
    <row r="16" spans="1:19" ht="36" customHeight="1" x14ac:dyDescent="0.2">
      <c r="A16" s="77" t="s">
        <v>120</v>
      </c>
      <c r="B16" s="53">
        <f t="shared" ref="B16:J16" si="5">B15/B6</f>
        <v>0.21504273504273508</v>
      </c>
      <c r="C16" s="53">
        <f t="shared" si="5"/>
        <v>0.21504273504273508</v>
      </c>
      <c r="D16" s="53">
        <f t="shared" si="5"/>
        <v>0.21504273504273508</v>
      </c>
      <c r="E16" s="53">
        <f t="shared" si="5"/>
        <v>0.21504273504273508</v>
      </c>
      <c r="F16" s="53">
        <f t="shared" si="5"/>
        <v>0.21504273504273508</v>
      </c>
      <c r="G16" s="53">
        <f t="shared" si="5"/>
        <v>0.21504273504273508</v>
      </c>
      <c r="H16" s="53">
        <f t="shared" si="5"/>
        <v>0.21504273504273508</v>
      </c>
      <c r="I16" s="53">
        <f t="shared" si="5"/>
        <v>0.21504273504273508</v>
      </c>
      <c r="J16" s="53">
        <f t="shared" si="5"/>
        <v>0.21504273504273508</v>
      </c>
      <c r="K16" s="123" t="s">
        <v>110</v>
      </c>
    </row>
    <row r="17" spans="1:3" ht="18.75" x14ac:dyDescent="0.3">
      <c r="A17" s="52"/>
      <c r="B17" s="20"/>
      <c r="C17" s="20"/>
    </row>
  </sheetData>
  <mergeCells count="6">
    <mergeCell ref="B12:K12"/>
    <mergeCell ref="A1:J1"/>
    <mergeCell ref="A4:A5"/>
    <mergeCell ref="B4:J4"/>
    <mergeCell ref="B9:K9"/>
    <mergeCell ref="B10:K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"/>
  <sheetViews>
    <sheetView zoomScaleNormal="100" workbookViewId="0">
      <selection activeCell="G7" sqref="G7"/>
    </sheetView>
  </sheetViews>
  <sheetFormatPr defaultRowHeight="12.75" x14ac:dyDescent="0.2"/>
  <cols>
    <col min="1" max="1" width="45.7109375" customWidth="1"/>
    <col min="2" max="3" width="12.28515625" customWidth="1"/>
    <col min="4" max="4" width="10" customWidth="1"/>
    <col min="5" max="6" width="10.42578125" customWidth="1"/>
    <col min="7" max="7" width="11.28515625" customWidth="1"/>
    <col min="12" max="12" width="11.140625" customWidth="1"/>
    <col min="13" max="14" width="11.85546875" customWidth="1"/>
    <col min="16" max="16" width="12" customWidth="1"/>
    <col min="19" max="19" width="11.140625" customWidth="1"/>
    <col min="20" max="20" width="14.28515625" customWidth="1"/>
  </cols>
  <sheetData>
    <row r="1" spans="1:20" ht="18.75" x14ac:dyDescent="0.3">
      <c r="A1" s="255" t="s">
        <v>121</v>
      </c>
      <c r="B1" s="255"/>
      <c r="C1" s="255"/>
      <c r="D1" s="255"/>
      <c r="E1" s="255"/>
      <c r="F1" s="255"/>
      <c r="G1" s="255"/>
      <c r="H1" s="255"/>
      <c r="I1" s="255"/>
      <c r="J1" s="255"/>
      <c r="K1" s="80"/>
      <c r="L1" s="80"/>
      <c r="M1" s="80"/>
      <c r="N1" s="80"/>
      <c r="O1" s="80"/>
      <c r="P1" s="80"/>
      <c r="Q1" s="80"/>
      <c r="R1" s="80"/>
      <c r="S1" s="80"/>
    </row>
    <row r="3" spans="1:20" ht="13.5" thickBot="1" x14ac:dyDescent="0.25"/>
    <row r="4" spans="1:20" ht="16.5" customHeight="1" x14ac:dyDescent="0.2">
      <c r="A4" s="203" t="s">
        <v>15</v>
      </c>
      <c r="B4" s="205" t="s">
        <v>108</v>
      </c>
      <c r="C4" s="205"/>
      <c r="D4" s="205"/>
      <c r="E4" s="205"/>
      <c r="F4" s="205"/>
      <c r="G4" s="205"/>
      <c r="H4" s="205"/>
      <c r="I4" s="205"/>
      <c r="J4" s="205"/>
      <c r="K4" s="105" t="s">
        <v>16</v>
      </c>
    </row>
    <row r="5" spans="1:20" ht="66" customHeight="1" x14ac:dyDescent="0.2">
      <c r="A5" s="204"/>
      <c r="B5" s="67" t="str">
        <f>Лист2!B7</f>
        <v>Пастила «Двухслойная»</v>
      </c>
      <c r="C5" s="67" t="str">
        <f>Лист2!B8</f>
        <v>Пастила «Малиновая»</v>
      </c>
      <c r="D5" s="67" t="str">
        <f>Лист2!B9</f>
        <v>Пастила «Клюквенная»</v>
      </c>
      <c r="E5" s="67" t="str">
        <f>Лист2!B10</f>
        <v>Зефир «Сливочный»</v>
      </c>
      <c r="F5" s="67" t="str">
        <f>Лист2!B11</f>
        <v>Зефир «Киевский»</v>
      </c>
      <c r="G5" s="67" t="str">
        <f>Лист2!B87</f>
        <v>Зефир «Десертный»</v>
      </c>
      <c r="H5" s="67" t="str">
        <f>Лист2!B13</f>
        <v>Зефир «В шоколаде»</v>
      </c>
      <c r="I5" s="67" t="str">
        <f>Лист2!B14</f>
        <v>Зефир «Яблочный»</v>
      </c>
      <c r="J5" s="67" t="str">
        <f>Лист2!B15</f>
        <v>Зефир «Маршмеллоу»</v>
      </c>
      <c r="K5" s="185"/>
    </row>
    <row r="6" spans="1:20" ht="19.5" customHeight="1" x14ac:dyDescent="0.2">
      <c r="A6" s="68" t="s">
        <v>7</v>
      </c>
      <c r="B6" s="53">
        <f>Лист2!E7</f>
        <v>250</v>
      </c>
      <c r="C6" s="53">
        <f>Лист2!E8</f>
        <v>125</v>
      </c>
      <c r="D6" s="53">
        <f>Лист2!E9</f>
        <v>125</v>
      </c>
      <c r="E6" s="53">
        <f>Лист2!E10</f>
        <v>350</v>
      </c>
      <c r="F6" s="53">
        <f>Лист2!E11</f>
        <v>350</v>
      </c>
      <c r="G6" s="53">
        <f>Лист2!C87</f>
        <v>350</v>
      </c>
      <c r="H6" s="53">
        <f>Лист2!E13</f>
        <v>350</v>
      </c>
      <c r="I6" s="53">
        <f>Лист2!E14</f>
        <v>350</v>
      </c>
      <c r="J6" s="53">
        <f>Лист2!E15</f>
        <v>375</v>
      </c>
      <c r="K6" s="69">
        <f>SUM(B6:J6)</f>
        <v>2625</v>
      </c>
    </row>
    <row r="7" spans="1:20" ht="15.75" x14ac:dyDescent="0.25">
      <c r="A7" s="70" t="s">
        <v>122</v>
      </c>
      <c r="B7" s="81">
        <v>90</v>
      </c>
      <c r="C7" s="81">
        <v>90</v>
      </c>
      <c r="D7" s="81">
        <v>90</v>
      </c>
      <c r="E7" s="81">
        <v>90</v>
      </c>
      <c r="F7" s="81">
        <v>90</v>
      </c>
      <c r="G7" s="81">
        <v>90</v>
      </c>
      <c r="H7" s="81">
        <v>90</v>
      </c>
      <c r="I7" s="81">
        <v>90</v>
      </c>
      <c r="J7" s="81">
        <v>90</v>
      </c>
      <c r="K7" s="71" t="s">
        <v>110</v>
      </c>
    </row>
    <row r="8" spans="1:20" ht="15" customHeight="1" x14ac:dyDescent="0.2">
      <c r="A8" s="72" t="s">
        <v>123</v>
      </c>
      <c r="B8" s="53">
        <f>B6*B7/1000</f>
        <v>22.5</v>
      </c>
      <c r="C8" s="53">
        <f t="shared" ref="C8:J8" si="0">C6*C7/1000</f>
        <v>11.25</v>
      </c>
      <c r="D8" s="53">
        <f t="shared" si="0"/>
        <v>11.25</v>
      </c>
      <c r="E8" s="53">
        <f t="shared" si="0"/>
        <v>31.5</v>
      </c>
      <c r="F8" s="53">
        <f t="shared" si="0"/>
        <v>31.5</v>
      </c>
      <c r="G8" s="53">
        <f t="shared" si="0"/>
        <v>31.5</v>
      </c>
      <c r="H8" s="53">
        <f t="shared" si="0"/>
        <v>31.5</v>
      </c>
      <c r="I8" s="53">
        <f t="shared" si="0"/>
        <v>31.5</v>
      </c>
      <c r="J8" s="53">
        <f t="shared" si="0"/>
        <v>33.75</v>
      </c>
      <c r="K8" s="69">
        <f>SUM(B8:J8)</f>
        <v>236.25</v>
      </c>
    </row>
    <row r="9" spans="1:20" ht="15.75" customHeight="1" x14ac:dyDescent="0.2">
      <c r="A9" s="72" t="s">
        <v>124</v>
      </c>
      <c r="B9" s="262">
        <v>6.5</v>
      </c>
      <c r="C9" s="263"/>
      <c r="D9" s="263"/>
      <c r="E9" s="263"/>
      <c r="F9" s="263"/>
      <c r="G9" s="263"/>
      <c r="H9" s="263"/>
      <c r="I9" s="263"/>
      <c r="J9" s="263"/>
      <c r="K9" s="135"/>
    </row>
    <row r="10" spans="1:20" ht="19.5" customHeight="1" x14ac:dyDescent="0.2">
      <c r="A10" s="72" t="s">
        <v>125</v>
      </c>
      <c r="B10" s="53">
        <f>B8*6.5</f>
        <v>146.25</v>
      </c>
      <c r="C10" s="53">
        <f t="shared" ref="C10:J10" si="1">C8*6.5</f>
        <v>73.125</v>
      </c>
      <c r="D10" s="53">
        <f t="shared" si="1"/>
        <v>73.125</v>
      </c>
      <c r="E10" s="53">
        <f t="shared" si="1"/>
        <v>204.75</v>
      </c>
      <c r="F10" s="53">
        <f t="shared" si="1"/>
        <v>204.75</v>
      </c>
      <c r="G10" s="53">
        <f t="shared" si="1"/>
        <v>204.75</v>
      </c>
      <c r="H10" s="53">
        <f t="shared" si="1"/>
        <v>204.75</v>
      </c>
      <c r="I10" s="53">
        <f t="shared" si="1"/>
        <v>204.75</v>
      </c>
      <c r="J10" s="53">
        <f t="shared" si="1"/>
        <v>219.375</v>
      </c>
      <c r="K10" s="69">
        <f>SUM(B10:J10)</f>
        <v>1535.625</v>
      </c>
    </row>
    <row r="11" spans="1:20" ht="20.25" customHeight="1" x14ac:dyDescent="0.2">
      <c r="A11" s="72" t="s">
        <v>126</v>
      </c>
      <c r="B11" s="53">
        <f>B10*0.9</f>
        <v>131.625</v>
      </c>
      <c r="C11" s="53">
        <f t="shared" ref="C11:J11" si="2">C10*0.9</f>
        <v>65.8125</v>
      </c>
      <c r="D11" s="53">
        <f t="shared" si="2"/>
        <v>65.8125</v>
      </c>
      <c r="E11" s="53">
        <f t="shared" si="2"/>
        <v>184.27500000000001</v>
      </c>
      <c r="F11" s="53">
        <f t="shared" si="2"/>
        <v>184.27500000000001</v>
      </c>
      <c r="G11" s="53">
        <f t="shared" si="2"/>
        <v>184.27500000000001</v>
      </c>
      <c r="H11" s="53">
        <f t="shared" si="2"/>
        <v>184.27500000000001</v>
      </c>
      <c r="I11" s="53">
        <f t="shared" si="2"/>
        <v>184.27500000000001</v>
      </c>
      <c r="J11" s="53">
        <f t="shared" si="2"/>
        <v>197.4375</v>
      </c>
      <c r="K11" s="69">
        <f>SUM(B11:J11)</f>
        <v>1382.0625</v>
      </c>
    </row>
    <row r="12" spans="1:20" ht="17.25" customHeight="1" x14ac:dyDescent="0.2">
      <c r="A12" s="72" t="s">
        <v>127</v>
      </c>
      <c r="B12" s="53">
        <f>B10*0.1</f>
        <v>14.625</v>
      </c>
      <c r="C12" s="53">
        <f t="shared" ref="C12:J12" si="3">C10*0.1</f>
        <v>7.3125</v>
      </c>
      <c r="D12" s="53">
        <f t="shared" si="3"/>
        <v>7.3125</v>
      </c>
      <c r="E12" s="53">
        <f t="shared" si="3"/>
        <v>20.475000000000001</v>
      </c>
      <c r="F12" s="53">
        <f t="shared" si="3"/>
        <v>20.475000000000001</v>
      </c>
      <c r="G12" s="53">
        <f t="shared" si="3"/>
        <v>20.475000000000001</v>
      </c>
      <c r="H12" s="53">
        <f t="shared" si="3"/>
        <v>20.475000000000001</v>
      </c>
      <c r="I12" s="53">
        <f t="shared" si="3"/>
        <v>20.475000000000001</v>
      </c>
      <c r="J12" s="53">
        <f t="shared" si="3"/>
        <v>21.9375</v>
      </c>
      <c r="K12" s="69">
        <f>SUM(B12:J12)</f>
        <v>153.5625</v>
      </c>
    </row>
    <row r="13" spans="1:20" ht="20.25" customHeight="1" thickBot="1" x14ac:dyDescent="0.25">
      <c r="A13" s="73" t="s">
        <v>128</v>
      </c>
      <c r="B13" s="74">
        <f>B10/B6</f>
        <v>0.58499999999999996</v>
      </c>
      <c r="C13" s="74">
        <f t="shared" ref="C13:J13" si="4">C10/C6</f>
        <v>0.58499999999999996</v>
      </c>
      <c r="D13" s="74">
        <f t="shared" si="4"/>
        <v>0.58499999999999996</v>
      </c>
      <c r="E13" s="74">
        <f t="shared" si="4"/>
        <v>0.58499999999999996</v>
      </c>
      <c r="F13" s="74">
        <f t="shared" si="4"/>
        <v>0.58499999999999996</v>
      </c>
      <c r="G13" s="74">
        <f t="shared" si="4"/>
        <v>0.58499999999999996</v>
      </c>
      <c r="H13" s="74">
        <f t="shared" si="4"/>
        <v>0.58499999999999996</v>
      </c>
      <c r="I13" s="74">
        <f t="shared" si="4"/>
        <v>0.58499999999999996</v>
      </c>
      <c r="J13" s="74">
        <f t="shared" si="4"/>
        <v>0.58499999999999996</v>
      </c>
      <c r="K13" s="75" t="s">
        <v>79</v>
      </c>
    </row>
    <row r="14" spans="1:20" ht="16.5" customHeight="1" x14ac:dyDescent="0.2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6"/>
    </row>
    <row r="15" spans="1:20" ht="17.25" customHeight="1" x14ac:dyDescent="0.2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</row>
    <row r="16" spans="1:20" ht="18.75" customHeight="1" x14ac:dyDescent="0.2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7"/>
    </row>
  </sheetData>
  <mergeCells count="4">
    <mergeCell ref="B4:J4"/>
    <mergeCell ref="A1:J1"/>
    <mergeCell ref="A4:A5"/>
    <mergeCell ref="B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>ВГТА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Евгения</dc:creator>
  <cp:lastModifiedBy>sergey chernyavskiy</cp:lastModifiedBy>
  <cp:lastPrinted>2014-05-14T13:58:07Z</cp:lastPrinted>
  <dcterms:created xsi:type="dcterms:W3CDTF">2005-11-21T15:05:19Z</dcterms:created>
  <dcterms:modified xsi:type="dcterms:W3CDTF">2023-05-25T19:34:22Z</dcterms:modified>
</cp:coreProperties>
</file>