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1\Desktop\"/>
    </mc:Choice>
  </mc:AlternateContent>
  <xr:revisionPtr revIDLastSave="0" documentId="13_ncr:1_{E625C549-1EA0-4DEB-9EC2-62E14D2EA84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W4" i="1" l="1"/>
  <c r="W3" i="1"/>
  <c r="M28" i="1" l="1"/>
  <c r="M21" i="1"/>
  <c r="O19" i="1"/>
  <c r="M19" i="1"/>
  <c r="J11" i="1"/>
  <c r="I11" i="1"/>
  <c r="H3" i="1"/>
  <c r="O25" i="1" l="1"/>
  <c r="O24" i="1"/>
  <c r="O23" i="1"/>
  <c r="O22" i="1"/>
  <c r="O21" i="1"/>
  <c r="M25" i="1"/>
  <c r="M24" i="1"/>
  <c r="M23" i="1"/>
  <c r="M22" i="1"/>
  <c r="Z2" i="1"/>
  <c r="Y2" i="1"/>
  <c r="V16" i="1"/>
  <c r="V14" i="1"/>
  <c r="V15" i="1"/>
  <c r="V13" i="1"/>
  <c r="X11" i="1"/>
  <c r="W11" i="1"/>
  <c r="S24" i="1"/>
  <c r="S20" i="1"/>
  <c r="S21" i="1"/>
  <c r="S22" i="1"/>
  <c r="S23" i="1"/>
  <c r="S19" i="1"/>
  <c r="R20" i="1"/>
  <c r="R21" i="1"/>
  <c r="R22" i="1"/>
  <c r="R23" i="1"/>
  <c r="R19" i="1"/>
  <c r="S18" i="1"/>
  <c r="R18" i="1"/>
  <c r="V11" i="1"/>
  <c r="U16" i="1"/>
  <c r="T16" i="1"/>
  <c r="U12" i="1"/>
  <c r="U13" i="1"/>
  <c r="U14" i="1"/>
  <c r="U15" i="1"/>
  <c r="U11" i="1"/>
  <c r="T12" i="1"/>
  <c r="T13" i="1"/>
  <c r="T14" i="1"/>
  <c r="T15" i="1"/>
  <c r="T11" i="1"/>
  <c r="R11" i="1"/>
  <c r="S12" i="1"/>
  <c r="S13" i="1"/>
  <c r="S14" i="1"/>
  <c r="S15" i="1"/>
  <c r="S11" i="1"/>
  <c r="R12" i="1"/>
  <c r="R13" i="1"/>
  <c r="R14" i="1"/>
  <c r="R15" i="1"/>
  <c r="X10" i="1"/>
  <c r="S10" i="1"/>
  <c r="T10" i="1"/>
  <c r="U10" i="1"/>
  <c r="V10" i="1"/>
  <c r="W10" i="1"/>
  <c r="R10" i="1"/>
  <c r="I16" i="1"/>
  <c r="I14" i="1"/>
  <c r="K11" i="1"/>
  <c r="F24" i="1"/>
  <c r="F20" i="1"/>
  <c r="F21" i="1"/>
  <c r="F22" i="1"/>
  <c r="F23" i="1"/>
  <c r="F19" i="1"/>
  <c r="E20" i="1"/>
  <c r="E21" i="1"/>
  <c r="E22" i="1"/>
  <c r="E23" i="1"/>
  <c r="E19" i="1"/>
  <c r="H16" i="1"/>
  <c r="G16" i="1"/>
  <c r="H12" i="1"/>
  <c r="H13" i="1"/>
  <c r="H14" i="1"/>
  <c r="H15" i="1"/>
  <c r="H11" i="1"/>
  <c r="G12" i="1"/>
  <c r="G13" i="1"/>
  <c r="G14" i="1"/>
  <c r="G15" i="1"/>
  <c r="G11" i="1"/>
  <c r="F12" i="1"/>
  <c r="F13" i="1"/>
  <c r="F14" i="1"/>
  <c r="F15" i="1"/>
  <c r="F11" i="1"/>
  <c r="E12" i="1"/>
  <c r="E13" i="1"/>
  <c r="E14" i="1"/>
  <c r="E15" i="1"/>
  <c r="E11" i="1"/>
  <c r="V4" i="1"/>
  <c r="V5" i="1"/>
  <c r="V6" i="1"/>
  <c r="V7" i="1"/>
  <c r="V3" i="1"/>
  <c r="Q7" i="1"/>
  <c r="Q6" i="1"/>
  <c r="Q5" i="1"/>
  <c r="Q4" i="1"/>
  <c r="Q3" i="1"/>
  <c r="P7" i="1"/>
  <c r="P6" i="1"/>
  <c r="P5" i="1"/>
  <c r="P4" i="1"/>
  <c r="P3" i="1"/>
  <c r="O7" i="1"/>
  <c r="O6" i="1"/>
  <c r="O5" i="1"/>
  <c r="O4" i="1"/>
  <c r="O3" i="1"/>
  <c r="N6" i="1"/>
  <c r="D7" i="1"/>
  <c r="D6" i="1"/>
  <c r="D5" i="1"/>
  <c r="D4" i="1"/>
  <c r="D3" i="1"/>
  <c r="C7" i="1"/>
  <c r="C6" i="1"/>
  <c r="C5" i="1"/>
  <c r="C4" i="1"/>
  <c r="C3" i="1"/>
  <c r="B7" i="1"/>
  <c r="B6" i="1"/>
  <c r="B5" i="1"/>
  <c r="B4" i="1"/>
  <c r="B3" i="1"/>
  <c r="I6" i="1"/>
  <c r="I7" i="1"/>
  <c r="I4" i="1"/>
  <c r="I5" i="1"/>
  <c r="I3" i="1"/>
  <c r="U4" i="1"/>
  <c r="U5" i="1"/>
  <c r="U6" i="1"/>
  <c r="U7" i="1"/>
  <c r="U3" i="1"/>
  <c r="H4" i="1"/>
  <c r="H5" i="1"/>
  <c r="H6" i="1"/>
  <c r="H7" i="1"/>
</calcChain>
</file>

<file path=xl/sharedStrings.xml><?xml version="1.0" encoding="utf-8"?>
<sst xmlns="http://schemas.openxmlformats.org/spreadsheetml/2006/main" count="42" uniqueCount="33">
  <si>
    <t>Объект 32</t>
  </si>
  <si>
    <t>Х0</t>
  </si>
  <si>
    <t>min1</t>
  </si>
  <si>
    <t>min2</t>
  </si>
  <si>
    <t>min3</t>
  </si>
  <si>
    <t>min4</t>
  </si>
  <si>
    <t>min5</t>
  </si>
  <si>
    <t>min6</t>
  </si>
  <si>
    <t>Объект 33</t>
  </si>
  <si>
    <t>min7</t>
  </si>
  <si>
    <t>Хэ</t>
  </si>
  <si>
    <t>Z</t>
  </si>
  <si>
    <t>delX</t>
  </si>
  <si>
    <t>del</t>
  </si>
  <si>
    <t>МНК для К 32</t>
  </si>
  <si>
    <t>xi</t>
  </si>
  <si>
    <t>yi</t>
  </si>
  <si>
    <t>xi^2</t>
  </si>
  <si>
    <t>xi*yi</t>
  </si>
  <si>
    <t>b</t>
  </si>
  <si>
    <t>di</t>
  </si>
  <si>
    <t>di^2</t>
  </si>
  <si>
    <t>Sb^2</t>
  </si>
  <si>
    <t>Sb</t>
  </si>
  <si>
    <t>delb</t>
  </si>
  <si>
    <t>Eb</t>
  </si>
  <si>
    <t>МНК для К 33</t>
  </si>
  <si>
    <t>b32</t>
  </si>
  <si>
    <t>b33</t>
  </si>
  <si>
    <t>l</t>
  </si>
  <si>
    <t>del l</t>
  </si>
  <si>
    <t>sum</t>
  </si>
  <si>
    <t>del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</si>
</sst>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3" borderId="0" xfId="0" applyFill="1"/>
    <xf numFmtId="0" fontId="0" fillId="4" borderId="2" xfId="0" applyFill="1" applyBorder="1"/>
    <xf numFmtId="0" fontId="0" fillId="4" borderId="0" xfId="0" applyFill="1" applyBorder="1"/>
    <xf numFmtId="0" fontId="0" fillId="2" borderId="0" xfId="0" applyFill="1" applyBorder="1"/>
    <xf numFmtId="0" fontId="0" fillId="3" borderId="0" xfId="0" applyFill="1" applyBorder="1"/>
    <xf numFmtId="0" fontId="0" fillId="4" borderId="7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4" borderId="14" xfId="0" applyFill="1" applyBorder="1"/>
    <xf numFmtId="0" fontId="0" fillId="0" borderId="14" xfId="0" applyBorder="1"/>
    <xf numFmtId="0" fontId="0" fillId="0" borderId="15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32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Лист1!$H$3:$H$7</c:f>
              <c:numCache>
                <c:formatCode>General</c:formatCode>
                <c:ptCount val="5"/>
                <c:pt idx="0">
                  <c:v>0.79999999999999993</c:v>
                </c:pt>
                <c:pt idx="1">
                  <c:v>0.75</c:v>
                </c:pt>
                <c:pt idx="2">
                  <c:v>0.7</c:v>
                </c:pt>
                <c:pt idx="3">
                  <c:v>0.64999999999999991</c:v>
                </c:pt>
                <c:pt idx="4">
                  <c:v>0.6</c:v>
                </c:pt>
              </c:numCache>
            </c:numRef>
          </c:xVal>
          <c:yVal>
            <c:numRef>
              <c:f>Лист1!$I$3:$I$7</c:f>
              <c:numCache>
                <c:formatCode>General</c:formatCode>
                <c:ptCount val="5"/>
                <c:pt idx="0">
                  <c:v>1.3166666666666667E-2</c:v>
                </c:pt>
                <c:pt idx="1">
                  <c:v>1.2333333333333333E-2</c:v>
                </c:pt>
                <c:pt idx="2">
                  <c:v>1.1500000000000002E-2</c:v>
                </c:pt>
                <c:pt idx="3">
                  <c:v>1.0750000000000001E-2</c:v>
                </c:pt>
                <c:pt idx="4">
                  <c:v>0.01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58E-4460-8D3E-9A7B582707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340376"/>
        <c:axId val="170342672"/>
      </c:scatterChart>
      <c:valAx>
        <c:axId val="170340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0342672"/>
        <c:crosses val="autoZero"/>
        <c:crossBetween val="midCat"/>
      </c:valAx>
      <c:valAx>
        <c:axId val="170342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03403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33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Лист1!$U$3:$U$7</c:f>
              <c:numCache>
                <c:formatCode>General</c:formatCode>
                <c:ptCount val="5"/>
                <c:pt idx="0">
                  <c:v>0.89999999999999991</c:v>
                </c:pt>
                <c:pt idx="1">
                  <c:v>0.85</c:v>
                </c:pt>
                <c:pt idx="2">
                  <c:v>0.79999999999999993</c:v>
                </c:pt>
                <c:pt idx="3">
                  <c:v>0.75</c:v>
                </c:pt>
                <c:pt idx="4">
                  <c:v>0.7</c:v>
                </c:pt>
              </c:numCache>
            </c:numRef>
          </c:xVal>
          <c:yVal>
            <c:numRef>
              <c:f>Лист1!$V$3:$V$7</c:f>
              <c:numCache>
                <c:formatCode>General</c:formatCode>
                <c:ptCount val="5"/>
                <c:pt idx="0">
                  <c:v>9.7857142857142865E-3</c:v>
                </c:pt>
                <c:pt idx="1">
                  <c:v>9.0714285714285723E-3</c:v>
                </c:pt>
                <c:pt idx="2">
                  <c:v>8.6428571428571414E-3</c:v>
                </c:pt>
                <c:pt idx="3">
                  <c:v>8.1428571428571427E-3</c:v>
                </c:pt>
                <c:pt idx="4">
                  <c:v>7.571428571428571E-3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D80-48EE-8D88-4B7A8A6C89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2855280"/>
        <c:axId val="542854952"/>
      </c:scatterChart>
      <c:valAx>
        <c:axId val="542855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2854952"/>
        <c:crosses val="autoZero"/>
        <c:crossBetween val="midCat"/>
      </c:valAx>
      <c:valAx>
        <c:axId val="542854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28552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0</xdr:rowOff>
    </xdr:from>
    <xdr:to>
      <xdr:col>3</xdr:col>
      <xdr:colOff>504825</xdr:colOff>
      <xdr:row>16</xdr:row>
      <xdr:rowOff>19050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97749AB5-6DBF-436F-ADA3-2EDC39E9A0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9525</xdr:colOff>
      <xdr:row>7</xdr:row>
      <xdr:rowOff>14287</xdr:rowOff>
    </xdr:from>
    <xdr:to>
      <xdr:col>16</xdr:col>
      <xdr:colOff>409575</xdr:colOff>
      <xdr:row>16</xdr:row>
      <xdr:rowOff>38100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7112993B-DBD8-4221-8900-781554FA23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8"/>
  <sheetViews>
    <sheetView tabSelected="1" topLeftCell="I1" workbookViewId="0">
      <selection activeCell="W5" sqref="W5"/>
    </sheetView>
  </sheetViews>
  <sheetFormatPr defaultRowHeight="15" x14ac:dyDescent="0.25"/>
  <cols>
    <col min="5" max="5" width="12.7109375" bestFit="1" customWidth="1"/>
    <col min="6" max="6" width="12" bestFit="1" customWidth="1"/>
    <col min="10" max="11" width="12" bestFit="1" customWidth="1"/>
    <col min="13" max="13" width="12" bestFit="1" customWidth="1"/>
    <col min="15" max="15" width="12" bestFit="1" customWidth="1"/>
    <col min="18" max="19" width="12" bestFit="1" customWidth="1"/>
    <col min="23" max="23" width="11" bestFit="1" customWidth="1"/>
    <col min="24" max="24" width="12" bestFit="1" customWidth="1"/>
    <col min="25" max="25" width="11" bestFit="1" customWidth="1"/>
  </cols>
  <sheetData>
    <row r="1" spans="1:26" x14ac:dyDescent="0.25">
      <c r="A1" s="25" t="s">
        <v>0</v>
      </c>
      <c r="B1" s="26"/>
      <c r="C1" s="26"/>
      <c r="D1" s="26"/>
      <c r="E1" s="27"/>
      <c r="N1" s="25" t="s">
        <v>8</v>
      </c>
      <c r="O1" s="26"/>
      <c r="P1" s="26"/>
      <c r="Q1" s="26"/>
      <c r="R1" s="26"/>
      <c r="S1" s="27"/>
      <c r="X1" s="11" t="s">
        <v>10</v>
      </c>
      <c r="Y1" s="11" t="s">
        <v>29</v>
      </c>
      <c r="Z1" s="11" t="s">
        <v>30</v>
      </c>
    </row>
    <row r="2" spans="1:26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3" t="s">
        <v>7</v>
      </c>
      <c r="H2" s="10" t="s">
        <v>11</v>
      </c>
      <c r="I2" s="10" t="s">
        <v>12</v>
      </c>
      <c r="J2" s="5"/>
      <c r="K2" s="5"/>
      <c r="M2" s="1" t="s">
        <v>1</v>
      </c>
      <c r="N2" s="2" t="s">
        <v>2</v>
      </c>
      <c r="O2" s="2" t="s">
        <v>3</v>
      </c>
      <c r="P2" s="2" t="s">
        <v>4</v>
      </c>
      <c r="Q2" s="2" t="s">
        <v>5</v>
      </c>
      <c r="R2" s="2" t="s">
        <v>6</v>
      </c>
      <c r="S2" s="2" t="s">
        <v>7</v>
      </c>
      <c r="T2" s="3" t="s">
        <v>9</v>
      </c>
      <c r="U2" s="10" t="s">
        <v>11</v>
      </c>
      <c r="V2" s="10" t="s">
        <v>13</v>
      </c>
      <c r="W2" s="5"/>
      <c r="X2" s="11">
        <v>1.2</v>
      </c>
      <c r="Y2" s="11">
        <f>632.82*10^(-9)</f>
        <v>6.3282000000000013E-7</v>
      </c>
      <c r="Z2" s="11">
        <f>0.01*10^(-9)</f>
        <v>1.0000000000000001E-11</v>
      </c>
    </row>
    <row r="3" spans="1:26" x14ac:dyDescent="0.25">
      <c r="A3" s="4">
        <v>0.4</v>
      </c>
      <c r="B3" s="5">
        <f>1.6/100</f>
        <v>1.6E-2</v>
      </c>
      <c r="C3" s="5">
        <f>3.1/100</f>
        <v>3.1E-2</v>
      </c>
      <c r="D3" s="5">
        <f>4.75/100</f>
        <v>4.7500000000000001E-2</v>
      </c>
      <c r="E3" s="5">
        <v>6.3E-2</v>
      </c>
      <c r="F3" s="5">
        <v>7.9000000000000001E-2</v>
      </c>
      <c r="G3" s="6">
        <v>9.5000000000000001E-2</v>
      </c>
      <c r="H3" s="5">
        <f>$X$2-A3</f>
        <v>0.79999999999999993</v>
      </c>
      <c r="I3" s="5">
        <f>(G3-B3)/6</f>
        <v>1.3166666666666667E-2</v>
      </c>
      <c r="J3" s="5"/>
      <c r="K3" s="5"/>
      <c r="M3" s="4">
        <v>0.3</v>
      </c>
      <c r="N3" s="10">
        <v>1.2E-2</v>
      </c>
      <c r="O3" s="10">
        <f>2.35/100</f>
        <v>2.35E-2</v>
      </c>
      <c r="P3" s="10">
        <f>3.5/100</f>
        <v>3.5000000000000003E-2</v>
      </c>
      <c r="Q3" s="10">
        <f>4.6/100</f>
        <v>4.5999999999999999E-2</v>
      </c>
      <c r="R3" s="10">
        <v>5.7000000000000002E-2</v>
      </c>
      <c r="S3" s="10">
        <v>6.8500000000000005E-2</v>
      </c>
      <c r="T3" s="6">
        <v>8.0500000000000002E-2</v>
      </c>
      <c r="U3" s="5">
        <f>$X$2-M3</f>
        <v>0.89999999999999991</v>
      </c>
      <c r="V3" s="5">
        <f>(T3-N3)/7</f>
        <v>9.7857142857142865E-3</v>
      </c>
      <c r="W3" s="5">
        <f>V3-V7</f>
        <v>2.2142857142857155E-3</v>
      </c>
    </row>
    <row r="4" spans="1:26" x14ac:dyDescent="0.25">
      <c r="A4" s="4">
        <v>0.45</v>
      </c>
      <c r="B4" s="5">
        <f>1.5/100</f>
        <v>1.4999999999999999E-2</v>
      </c>
      <c r="C4" s="5">
        <f>3/100</f>
        <v>0.03</v>
      </c>
      <c r="D4" s="5">
        <f>4.45/100</f>
        <v>4.4500000000000005E-2</v>
      </c>
      <c r="E4" s="5">
        <v>5.9499999999999997E-2</v>
      </c>
      <c r="F4" s="5">
        <v>7.4499999999999997E-2</v>
      </c>
      <c r="G4" s="6">
        <v>8.8999999999999996E-2</v>
      </c>
      <c r="H4" s="5">
        <f t="shared" ref="H4:H7" si="0">$X$2-A4</f>
        <v>0.75</v>
      </c>
      <c r="I4" s="5">
        <f t="shared" ref="I4:I5" si="1">(G4-B4)/6</f>
        <v>1.2333333333333333E-2</v>
      </c>
      <c r="J4" s="5"/>
      <c r="K4" s="5"/>
      <c r="M4" s="4">
        <v>0.35</v>
      </c>
      <c r="N4" s="10">
        <v>1.15E-2</v>
      </c>
      <c r="O4" s="10">
        <f>2.15/100</f>
        <v>2.1499999999999998E-2</v>
      </c>
      <c r="P4" s="10">
        <f>3.25/100</f>
        <v>3.2500000000000001E-2</v>
      </c>
      <c r="Q4" s="10">
        <f>4.3/100</f>
        <v>4.2999999999999997E-2</v>
      </c>
      <c r="R4" s="10">
        <v>5.3999999999999999E-2</v>
      </c>
      <c r="S4" s="10">
        <v>6.5000000000000002E-2</v>
      </c>
      <c r="T4" s="6">
        <v>7.4999999999999997E-2</v>
      </c>
      <c r="U4" s="5">
        <f t="shared" ref="U4:U7" si="2">$X$2-M4</f>
        <v>0.85</v>
      </c>
      <c r="V4" s="5">
        <f t="shared" ref="V4:V7" si="3">(T4-N4)/7</f>
        <v>9.0714285714285723E-3</v>
      </c>
      <c r="W4" s="5">
        <f>W3/12</f>
        <v>1.8452380952380963E-4</v>
      </c>
    </row>
    <row r="5" spans="1:26" x14ac:dyDescent="0.25">
      <c r="A5" s="4">
        <v>0.5</v>
      </c>
      <c r="B5" s="5">
        <f>1.45/100</f>
        <v>1.4499999999999999E-2</v>
      </c>
      <c r="C5" s="5">
        <f>2.8/100</f>
        <v>2.7999999999999997E-2</v>
      </c>
      <c r="D5" s="5">
        <f>4.2/100</f>
        <v>4.2000000000000003E-2</v>
      </c>
      <c r="E5" s="5">
        <v>5.5500000000000001E-2</v>
      </c>
      <c r="F5" s="5">
        <v>6.9500000000000006E-2</v>
      </c>
      <c r="G5" s="6">
        <v>8.3500000000000005E-2</v>
      </c>
      <c r="H5" s="5">
        <f t="shared" si="0"/>
        <v>0.7</v>
      </c>
      <c r="I5" s="5">
        <f t="shared" si="1"/>
        <v>1.1500000000000002E-2</v>
      </c>
      <c r="J5" s="5"/>
      <c r="K5" s="5"/>
      <c r="M5" s="4">
        <v>0.4</v>
      </c>
      <c r="N5" s="10">
        <v>1.0500000000000001E-2</v>
      </c>
      <c r="O5" s="10">
        <f>2.05/100</f>
        <v>2.0499999999999997E-2</v>
      </c>
      <c r="P5" s="10">
        <f>3/100</f>
        <v>0.03</v>
      </c>
      <c r="Q5" s="10">
        <f>4/100</f>
        <v>0.04</v>
      </c>
      <c r="R5" s="10">
        <v>5.0500000000000003E-2</v>
      </c>
      <c r="S5" s="10">
        <v>6.0499999999999998E-2</v>
      </c>
      <c r="T5" s="6">
        <v>7.0999999999999994E-2</v>
      </c>
      <c r="U5" s="5">
        <f t="shared" si="2"/>
        <v>0.79999999999999993</v>
      </c>
      <c r="V5" s="5">
        <f t="shared" si="3"/>
        <v>8.6428571428571414E-3</v>
      </c>
      <c r="W5" s="5"/>
    </row>
    <row r="6" spans="1:26" x14ac:dyDescent="0.25">
      <c r="A6" s="4">
        <v>0.55000000000000004</v>
      </c>
      <c r="B6" s="5">
        <f>1.35/100</f>
        <v>1.3500000000000002E-2</v>
      </c>
      <c r="C6" s="5">
        <f>2.65/100</f>
        <v>2.6499999999999999E-2</v>
      </c>
      <c r="D6" s="5">
        <f>3.9/100</f>
        <v>3.9E-2</v>
      </c>
      <c r="E6" s="5">
        <v>5.2499999999999998E-2</v>
      </c>
      <c r="F6" s="5">
        <v>6.5000000000000002E-2</v>
      </c>
      <c r="G6" s="6">
        <v>7.8E-2</v>
      </c>
      <c r="H6" s="5">
        <f t="shared" si="0"/>
        <v>0.64999999999999991</v>
      </c>
      <c r="I6" s="5">
        <f>(G6-B6)/6</f>
        <v>1.0750000000000001E-2</v>
      </c>
      <c r="J6" s="5"/>
      <c r="K6" s="5"/>
      <c r="M6" s="4">
        <v>0.45</v>
      </c>
      <c r="N6" s="10">
        <f>0.95/100</f>
        <v>9.4999999999999998E-3</v>
      </c>
      <c r="O6" s="10">
        <f>1.9/100</f>
        <v>1.9E-2</v>
      </c>
      <c r="P6" s="10">
        <f>2.85/100</f>
        <v>2.8500000000000001E-2</v>
      </c>
      <c r="Q6" s="10">
        <f>3.8/100</f>
        <v>3.7999999999999999E-2</v>
      </c>
      <c r="R6" s="10">
        <v>4.7500000000000001E-2</v>
      </c>
      <c r="S6" s="10">
        <v>5.7000000000000002E-2</v>
      </c>
      <c r="T6" s="6">
        <v>6.6500000000000004E-2</v>
      </c>
      <c r="U6" s="5">
        <f t="shared" si="2"/>
        <v>0.75</v>
      </c>
      <c r="V6" s="5">
        <f t="shared" si="3"/>
        <v>8.1428571428571427E-3</v>
      </c>
      <c r="W6" s="5"/>
    </row>
    <row r="7" spans="1:26" x14ac:dyDescent="0.25">
      <c r="A7" s="7">
        <v>0.6</v>
      </c>
      <c r="B7" s="8">
        <f>1.15/100</f>
        <v>1.15E-2</v>
      </c>
      <c r="C7" s="8">
        <f>2.35/100</f>
        <v>2.35E-2</v>
      </c>
      <c r="D7" s="8">
        <f>3.5/100</f>
        <v>3.5000000000000003E-2</v>
      </c>
      <c r="E7" s="8">
        <v>4.7E-2</v>
      </c>
      <c r="F7" s="8">
        <v>5.8999999999999997E-2</v>
      </c>
      <c r="G7" s="9">
        <v>7.1499999999999994E-2</v>
      </c>
      <c r="H7" s="5">
        <f t="shared" si="0"/>
        <v>0.6</v>
      </c>
      <c r="I7" s="5">
        <f>(G7-B7)/6</f>
        <v>0.01</v>
      </c>
      <c r="J7" s="5"/>
      <c r="K7" s="5"/>
      <c r="M7" s="7">
        <v>0.5</v>
      </c>
      <c r="N7" s="8">
        <v>8.9999999999999993E-3</v>
      </c>
      <c r="O7" s="8">
        <f>1.75/100</f>
        <v>1.7500000000000002E-2</v>
      </c>
      <c r="P7" s="8">
        <f>2.65/100</f>
        <v>2.6499999999999999E-2</v>
      </c>
      <c r="Q7" s="8">
        <f>3.55/100</f>
        <v>3.5499999999999997E-2</v>
      </c>
      <c r="R7" s="8">
        <v>4.3999999999999997E-2</v>
      </c>
      <c r="S7" s="8">
        <v>5.2999999999999999E-2</v>
      </c>
      <c r="T7" s="9">
        <v>6.2E-2</v>
      </c>
      <c r="U7" s="5">
        <f t="shared" si="2"/>
        <v>0.7</v>
      </c>
      <c r="V7" s="5">
        <f t="shared" si="3"/>
        <v>7.571428571428571E-3</v>
      </c>
      <c r="W7" s="5"/>
    </row>
    <row r="8" spans="1:26" ht="15.75" thickBot="1" x14ac:dyDescent="0.3"/>
    <row r="9" spans="1:26" ht="16.5" thickTop="1" thickBot="1" x14ac:dyDescent="0.3">
      <c r="E9" s="25" t="s">
        <v>14</v>
      </c>
      <c r="F9" s="26"/>
      <c r="G9" s="26"/>
      <c r="H9" s="26"/>
      <c r="I9" s="26"/>
      <c r="J9" s="27"/>
      <c r="R9" s="28" t="s">
        <v>26</v>
      </c>
      <c r="S9" s="29"/>
      <c r="T9" s="29"/>
      <c r="U9" s="29"/>
      <c r="V9" s="30"/>
      <c r="W9" s="17"/>
      <c r="X9" s="18"/>
    </row>
    <row r="10" spans="1:26" ht="15.75" thickTop="1" x14ac:dyDescent="0.25">
      <c r="E10" s="1" t="s">
        <v>15</v>
      </c>
      <c r="F10" s="2" t="s">
        <v>16</v>
      </c>
      <c r="G10" s="2" t="s">
        <v>17</v>
      </c>
      <c r="H10" s="2" t="s">
        <v>18</v>
      </c>
      <c r="I10" s="12" t="s">
        <v>19</v>
      </c>
      <c r="J10" s="2" t="s">
        <v>22</v>
      </c>
      <c r="K10" s="3" t="s">
        <v>23</v>
      </c>
      <c r="R10" s="19" t="str">
        <f>E10</f>
        <v>xi</v>
      </c>
      <c r="S10" s="5" t="str">
        <f t="shared" ref="S10:W10" si="4">F10</f>
        <v>yi</v>
      </c>
      <c r="T10" s="5" t="str">
        <f t="shared" si="4"/>
        <v>xi^2</v>
      </c>
      <c r="U10" s="5" t="str">
        <f t="shared" si="4"/>
        <v>xi*yi</v>
      </c>
      <c r="V10" s="5" t="str">
        <f t="shared" si="4"/>
        <v>b</v>
      </c>
      <c r="W10" s="5" t="str">
        <f t="shared" si="4"/>
        <v>Sb^2</v>
      </c>
      <c r="X10" s="20" t="str">
        <f>K10</f>
        <v>Sb</v>
      </c>
    </row>
    <row r="11" spans="1:26" x14ac:dyDescent="0.25">
      <c r="E11" s="4">
        <f>H3</f>
        <v>0.79999999999999993</v>
      </c>
      <c r="F11" s="5">
        <f>I3</f>
        <v>1.3166666666666667E-2</v>
      </c>
      <c r="G11" s="5">
        <f>E11^2</f>
        <v>0.6399999999999999</v>
      </c>
      <c r="H11" s="5">
        <f>E11*F11</f>
        <v>1.0533333333333332E-2</v>
      </c>
      <c r="I11" s="13">
        <f>H16/G16</f>
        <v>1.6493265993265997E-2</v>
      </c>
      <c r="J11" s="5">
        <f>(1/G16)*(F24/4)</f>
        <v>1.6020190683490213E-9</v>
      </c>
      <c r="K11" s="6">
        <f>SQRT(J11)</f>
        <v>4.0025230397200982E-5</v>
      </c>
      <c r="R11" s="19">
        <f>U3</f>
        <v>0.89999999999999991</v>
      </c>
      <c r="S11" s="5">
        <f>V3</f>
        <v>9.7857142857142865E-3</v>
      </c>
      <c r="T11" s="5">
        <f>R11^2</f>
        <v>0.80999999999999983</v>
      </c>
      <c r="U11" s="5">
        <f>R11*S11</f>
        <v>8.8071428571428571E-3</v>
      </c>
      <c r="V11" s="5">
        <f>U16/T16</f>
        <v>1.0802879291251385E-2</v>
      </c>
      <c r="W11" s="5">
        <f>(1/T16)*(S24/4)</f>
        <v>1.3996043703221333E-9</v>
      </c>
      <c r="X11" s="20">
        <f>SQRT(W11)</f>
        <v>3.741128667023006E-5</v>
      </c>
    </row>
    <row r="12" spans="1:26" x14ac:dyDescent="0.25">
      <c r="E12" s="4">
        <f t="shared" ref="E12:E15" si="5">H4</f>
        <v>0.75</v>
      </c>
      <c r="F12" s="5">
        <f t="shared" ref="F12:F15" si="6">I4</f>
        <v>1.2333333333333333E-2</v>
      </c>
      <c r="G12" s="5">
        <f t="shared" ref="G12:G15" si="7">E12^2</f>
        <v>0.5625</v>
      </c>
      <c r="H12" s="5">
        <f t="shared" ref="H12:H15" si="8">E12*F12</f>
        <v>9.2499999999999995E-3</v>
      </c>
      <c r="I12" s="5"/>
      <c r="J12" s="5"/>
      <c r="K12" s="6"/>
      <c r="R12" s="19">
        <f t="shared" ref="R12:R15" si="9">U4</f>
        <v>0.85</v>
      </c>
      <c r="S12" s="5">
        <f t="shared" ref="S12:S15" si="10">V4</f>
        <v>9.0714285714285723E-3</v>
      </c>
      <c r="T12" s="5">
        <f t="shared" ref="T12:T15" si="11">R12^2</f>
        <v>0.72249999999999992</v>
      </c>
      <c r="U12" s="5">
        <f t="shared" ref="U12:U15" si="12">R12*S12</f>
        <v>7.710714285714286E-3</v>
      </c>
      <c r="V12" s="5"/>
      <c r="W12" s="5"/>
      <c r="X12" s="20"/>
    </row>
    <row r="13" spans="1:26" x14ac:dyDescent="0.25">
      <c r="E13" s="4">
        <f t="shared" si="5"/>
        <v>0.7</v>
      </c>
      <c r="F13" s="5">
        <f t="shared" si="6"/>
        <v>1.1500000000000002E-2</v>
      </c>
      <c r="G13" s="5">
        <f t="shared" si="7"/>
        <v>0.48999999999999994</v>
      </c>
      <c r="H13" s="5">
        <f t="shared" si="8"/>
        <v>8.0499999999999999E-3</v>
      </c>
      <c r="I13" s="5" t="s">
        <v>24</v>
      </c>
      <c r="J13" s="5"/>
      <c r="K13" s="6"/>
      <c r="R13" s="19">
        <f t="shared" si="9"/>
        <v>0.79999999999999993</v>
      </c>
      <c r="S13" s="5">
        <f t="shared" si="10"/>
        <v>8.6428571428571414E-3</v>
      </c>
      <c r="T13" s="5">
        <f t="shared" si="11"/>
        <v>0.6399999999999999</v>
      </c>
      <c r="U13" s="5">
        <f t="shared" si="12"/>
        <v>6.9142857142857122E-3</v>
      </c>
      <c r="V13" s="5" t="str">
        <f>I13</f>
        <v>delb</v>
      </c>
      <c r="W13" s="5"/>
      <c r="X13" s="20"/>
    </row>
    <row r="14" spans="1:26" x14ac:dyDescent="0.25">
      <c r="E14" s="4">
        <f t="shared" si="5"/>
        <v>0.64999999999999991</v>
      </c>
      <c r="F14" s="5">
        <f t="shared" si="6"/>
        <v>1.0750000000000001E-2</v>
      </c>
      <c r="G14" s="5">
        <f t="shared" si="7"/>
        <v>0.42249999999999988</v>
      </c>
      <c r="H14" s="5">
        <f t="shared" si="8"/>
        <v>6.9874999999999998E-3</v>
      </c>
      <c r="I14" s="5">
        <f>2.78*K11</f>
        <v>1.1127014050421872E-4</v>
      </c>
      <c r="J14" s="5"/>
      <c r="K14" s="6"/>
      <c r="R14" s="19">
        <f t="shared" si="9"/>
        <v>0.75</v>
      </c>
      <c r="S14" s="5">
        <f t="shared" si="10"/>
        <v>8.1428571428571427E-3</v>
      </c>
      <c r="T14" s="5">
        <f t="shared" si="11"/>
        <v>0.5625</v>
      </c>
      <c r="U14" s="5">
        <f t="shared" si="12"/>
        <v>6.107142857142857E-3</v>
      </c>
      <c r="V14" s="5">
        <f>2.78*X11</f>
        <v>1.0400337694323956E-4</v>
      </c>
      <c r="W14" s="5"/>
      <c r="X14" s="20"/>
    </row>
    <row r="15" spans="1:26" x14ac:dyDescent="0.25">
      <c r="E15" s="4">
        <f t="shared" si="5"/>
        <v>0.6</v>
      </c>
      <c r="F15" s="5">
        <f t="shared" si="6"/>
        <v>0.01</v>
      </c>
      <c r="G15" s="5">
        <f t="shared" si="7"/>
        <v>0.36</v>
      </c>
      <c r="H15" s="5">
        <f t="shared" si="8"/>
        <v>6.0000000000000001E-3</v>
      </c>
      <c r="I15" s="5" t="s">
        <v>25</v>
      </c>
      <c r="J15" s="5"/>
      <c r="K15" s="6"/>
      <c r="R15" s="19">
        <f t="shared" si="9"/>
        <v>0.7</v>
      </c>
      <c r="S15" s="5">
        <f t="shared" si="10"/>
        <v>7.571428571428571E-3</v>
      </c>
      <c r="T15" s="5">
        <f t="shared" si="11"/>
        <v>0.48999999999999994</v>
      </c>
      <c r="U15" s="5">
        <f t="shared" si="12"/>
        <v>5.2999999999999992E-3</v>
      </c>
      <c r="V15" s="5" t="str">
        <f>I15</f>
        <v>Eb</v>
      </c>
      <c r="W15" s="5"/>
      <c r="X15" s="20"/>
    </row>
    <row r="16" spans="1:26" x14ac:dyDescent="0.25">
      <c r="E16" s="4"/>
      <c r="F16" s="5"/>
      <c r="G16" s="14">
        <f>SUM(G11:G15)</f>
        <v>2.4749999999999996</v>
      </c>
      <c r="H16" s="15">
        <f>SUM(H11:H15)</f>
        <v>4.0820833333333334E-2</v>
      </c>
      <c r="I16" s="5">
        <f>I14/I11*100</f>
        <v>0.67463982300199954</v>
      </c>
      <c r="J16" s="5"/>
      <c r="K16" s="6"/>
      <c r="R16" s="19"/>
      <c r="S16" s="5"/>
      <c r="T16" s="14">
        <f>SUM(T11:T15)</f>
        <v>3.2249999999999992</v>
      </c>
      <c r="U16" s="15">
        <f>SUM(U11:U15)</f>
        <v>3.4839285714285712E-2</v>
      </c>
      <c r="V16" s="5">
        <f>V14/V11*100</f>
        <v>0.96273756411835265</v>
      </c>
      <c r="W16" s="5"/>
      <c r="X16" s="20"/>
    </row>
    <row r="17" spans="5:24" x14ac:dyDescent="0.25">
      <c r="E17" s="4"/>
      <c r="F17" s="5"/>
      <c r="G17" s="5"/>
      <c r="H17" s="5"/>
      <c r="I17" s="5"/>
      <c r="J17" s="5"/>
      <c r="K17" s="6"/>
      <c r="R17" s="19"/>
      <c r="S17" s="5"/>
      <c r="T17" s="5"/>
      <c r="U17" s="5"/>
      <c r="V17" s="5"/>
      <c r="W17" s="5"/>
      <c r="X17" s="20"/>
    </row>
    <row r="18" spans="5:24" x14ac:dyDescent="0.25">
      <c r="E18" s="4" t="s">
        <v>20</v>
      </c>
      <c r="F18" s="5" t="s">
        <v>21</v>
      </c>
      <c r="G18" s="5"/>
      <c r="H18" s="5"/>
      <c r="I18" s="5"/>
      <c r="J18" s="5"/>
      <c r="K18" s="6"/>
      <c r="M18" t="s">
        <v>27</v>
      </c>
      <c r="O18" t="s">
        <v>28</v>
      </c>
      <c r="R18" s="19" t="str">
        <f>E18</f>
        <v>di</v>
      </c>
      <c r="S18" s="5" t="str">
        <f>F18</f>
        <v>di^2</v>
      </c>
      <c r="T18" s="5"/>
      <c r="U18" s="5"/>
      <c r="V18" s="5"/>
      <c r="W18" s="5"/>
      <c r="X18" s="20"/>
    </row>
    <row r="19" spans="5:24" x14ac:dyDescent="0.25">
      <c r="E19" s="4">
        <f>F11-$I$11*E11</f>
        <v>-2.79461279461303E-5</v>
      </c>
      <c r="F19" s="5">
        <f>E19^2</f>
        <v>7.8098606718148492E-10</v>
      </c>
      <c r="G19" s="5"/>
      <c r="H19" s="5"/>
      <c r="I19" s="5"/>
      <c r="J19" s="5"/>
      <c r="K19" s="6"/>
      <c r="M19">
        <f>Y2/I11</f>
        <v>3.8368386240685922E-5</v>
      </c>
      <c r="O19">
        <f>Y2/V11</f>
        <v>5.8578827268067662E-5</v>
      </c>
      <c r="R19" s="19">
        <f>S11-R11*$V$11</f>
        <v>6.3122923588039906E-5</v>
      </c>
      <c r="S19" s="5">
        <f>R19^2</f>
        <v>3.9845034823015248E-9</v>
      </c>
      <c r="T19" s="5"/>
      <c r="U19" s="5"/>
      <c r="V19" s="5"/>
      <c r="W19" s="5"/>
      <c r="X19" s="20"/>
    </row>
    <row r="20" spans="5:24" x14ac:dyDescent="0.25">
      <c r="E20" s="4">
        <f t="shared" ref="E20:E23" si="13">F12-$I$11*E12</f>
        <v>-3.6616161616164628E-5</v>
      </c>
      <c r="F20" s="5">
        <f t="shared" ref="F20:F23" si="14">E20^2</f>
        <v>1.3407432915010878E-9</v>
      </c>
      <c r="G20" s="5"/>
      <c r="H20" s="5"/>
      <c r="I20" s="5"/>
      <c r="J20" s="5"/>
      <c r="K20" s="6"/>
      <c r="R20" s="19">
        <f t="shared" ref="R20:R23" si="15">S12-R12*$V$11</f>
        <v>-1.1101882613510569E-4</v>
      </c>
      <c r="S20" s="5">
        <f t="shared" ref="S20:S23" si="16">R20^2</f>
        <v>1.2325179756416827E-8</v>
      </c>
      <c r="T20" s="5"/>
      <c r="U20" s="5"/>
      <c r="V20" s="5"/>
      <c r="W20" s="5"/>
      <c r="X20" s="20"/>
    </row>
    <row r="21" spans="5:24" x14ac:dyDescent="0.25">
      <c r="E21" s="4">
        <f t="shared" si="13"/>
        <v>-4.5286195286195485E-5</v>
      </c>
      <c r="F21" s="5">
        <f t="shared" si="14"/>
        <v>2.050839483499434E-9</v>
      </c>
      <c r="G21" s="5"/>
      <c r="H21" s="5"/>
      <c r="I21" s="5"/>
      <c r="J21" s="5"/>
      <c r="K21" s="6"/>
      <c r="L21">
        <v>1</v>
      </c>
      <c r="M21">
        <f>(Z2/I11)^2</f>
        <v>3.6760945572169225E-19</v>
      </c>
      <c r="O21">
        <f>(Z2/V11)^2</f>
        <v>8.5688186820043397E-19</v>
      </c>
      <c r="R21" s="19">
        <f t="shared" si="15"/>
        <v>5.5370985603368783E-7</v>
      </c>
      <c r="S21" s="5">
        <f t="shared" si="16"/>
        <v>3.0659460466884728E-13</v>
      </c>
      <c r="T21" s="5"/>
      <c r="U21" s="5"/>
      <c r="V21" s="5"/>
      <c r="W21" s="5"/>
      <c r="X21" s="20"/>
    </row>
    <row r="22" spans="5:24" x14ac:dyDescent="0.25">
      <c r="E22" s="4">
        <f t="shared" si="13"/>
        <v>2.9377104377104751E-5</v>
      </c>
      <c r="F22" s="5">
        <f t="shared" si="14"/>
        <v>8.6301426158330709E-10</v>
      </c>
      <c r="G22" s="5"/>
      <c r="H22" s="5"/>
      <c r="I22" s="5"/>
      <c r="J22" s="5"/>
      <c r="K22" s="6"/>
      <c r="L22">
        <v>2</v>
      </c>
      <c r="M22">
        <f>((Y2*I14)/I11^2)^2</f>
        <v>6.7002500924467139E-14</v>
      </c>
      <c r="O22">
        <f>((Y2*V14)/V11^2)^2</f>
        <v>3.1805130426525468E-13</v>
      </c>
      <c r="R22" s="19">
        <f t="shared" si="15"/>
        <v>4.0697674418603558E-5</v>
      </c>
      <c r="S22" s="5">
        <f t="shared" si="16"/>
        <v>1.6563007030826585E-9</v>
      </c>
      <c r="T22" s="5"/>
      <c r="U22" s="5"/>
      <c r="V22" s="5"/>
      <c r="W22" s="5"/>
      <c r="X22" s="20"/>
    </row>
    <row r="23" spans="5:24" x14ac:dyDescent="0.25">
      <c r="E23" s="4">
        <f t="shared" si="13"/>
        <v>1.0404040404040152E-4</v>
      </c>
      <c r="F23" s="5">
        <f t="shared" si="14"/>
        <v>1.0824405672889996E-8</v>
      </c>
      <c r="G23" s="5"/>
      <c r="H23" s="5"/>
      <c r="I23" s="5"/>
      <c r="J23" s="5"/>
      <c r="K23" s="6"/>
      <c r="L23" t="s">
        <v>31</v>
      </c>
      <c r="M23">
        <f>SUM(M21:M22)</f>
        <v>6.7002868533922864E-14</v>
      </c>
      <c r="O23">
        <f>SUM(O21:O22)</f>
        <v>3.1805216114712286E-13</v>
      </c>
      <c r="R23" s="19">
        <f t="shared" si="15"/>
        <v>9.4130675526013161E-6</v>
      </c>
      <c r="S23" s="5">
        <f t="shared" si="16"/>
        <v>8.860584074983573E-11</v>
      </c>
      <c r="T23" s="5"/>
      <c r="U23" s="5"/>
      <c r="V23" s="5"/>
      <c r="W23" s="5"/>
      <c r="X23" s="20"/>
    </row>
    <row r="24" spans="5:24" ht="15.75" thickBot="1" x14ac:dyDescent="0.3">
      <c r="E24" s="7"/>
      <c r="F24" s="16">
        <f>SUM(F19:F23)</f>
        <v>1.585998877665531E-8</v>
      </c>
      <c r="G24" s="8"/>
      <c r="H24" s="8"/>
      <c r="I24" s="8"/>
      <c r="J24" s="8"/>
      <c r="K24" s="9"/>
      <c r="L24" t="s">
        <v>32</v>
      </c>
      <c r="M24">
        <f xml:space="preserve"> SQRT(M23)</f>
        <v>2.5884912310827491E-7</v>
      </c>
      <c r="O24">
        <f>SQRT(O23)</f>
        <v>5.6396113442960131E-7</v>
      </c>
      <c r="R24" s="21"/>
      <c r="S24" s="22">
        <f>SUM(S19:S23)</f>
        <v>1.8054896377155517E-8</v>
      </c>
      <c r="T24" s="23"/>
      <c r="U24" s="23"/>
      <c r="V24" s="23"/>
      <c r="W24" s="23"/>
      <c r="X24" s="24"/>
    </row>
    <row r="25" spans="5:24" ht="15.75" thickTop="1" x14ac:dyDescent="0.25">
      <c r="L25" t="s">
        <v>25</v>
      </c>
      <c r="M25">
        <f>M24/M19*100</f>
        <v>0.67464167370633576</v>
      </c>
      <c r="O25">
        <f>O24/O19*100</f>
        <v>0.96273886100315698</v>
      </c>
    </row>
    <row r="28" spans="5:24" x14ac:dyDescent="0.25">
      <c r="M28">
        <f>O19/M19</f>
        <v>1.5267472262346689</v>
      </c>
    </row>
  </sheetData>
  <mergeCells count="4">
    <mergeCell ref="A1:E1"/>
    <mergeCell ref="N1:S1"/>
    <mergeCell ref="E9:J9"/>
    <mergeCell ref="R9:V9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2015-06-05T18:19:34Z</dcterms:created>
  <dcterms:modified xsi:type="dcterms:W3CDTF">2020-03-28T12:59:31Z</dcterms:modified>
</cp:coreProperties>
</file>