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6aae30672e865/Рабочий стол/Физика/Мои лабы/Лаба 1.02/"/>
    </mc:Choice>
  </mc:AlternateContent>
  <xr:revisionPtr revIDLastSave="400" documentId="8_{DCB8C32E-588C-43D6-9F5B-FE039725003E}" xr6:coauthVersionLast="47" xr6:coauthVersionMax="47" xr10:uidLastSave="{B41822A2-F797-450A-A5AB-BADD94D9BE3B}"/>
  <bookViews>
    <workbookView xWindow="0" yWindow="15" windowWidth="21585" windowHeight="12765" xr2:uid="{4DD08CBA-39F0-499D-9E97-29C2DC78CF3D}"/>
  </bookViews>
  <sheets>
    <sheet name="Данные" sheetId="1" r:id="rId1"/>
    <sheet name="Жарга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" i="1" l="1"/>
  <c r="Y14" i="2"/>
  <c r="Q28" i="1"/>
  <c r="S26" i="1"/>
  <c r="R28" i="2"/>
  <c r="Y13" i="2"/>
  <c r="S12" i="1"/>
  <c r="S18" i="1" s="1"/>
  <c r="R12" i="1"/>
  <c r="R18" i="1" s="1"/>
  <c r="Q12" i="1"/>
  <c r="Q18" i="1" s="1"/>
  <c r="P12" i="1"/>
  <c r="P18" i="1" s="1"/>
  <c r="S11" i="1"/>
  <c r="S17" i="1" s="1"/>
  <c r="R11" i="1"/>
  <c r="R17" i="1" s="1"/>
  <c r="Q11" i="1"/>
  <c r="Q17" i="1" s="1"/>
  <c r="P11" i="1"/>
  <c r="S10" i="1"/>
  <c r="S16" i="1" s="1"/>
  <c r="R10" i="1"/>
  <c r="Q10" i="1"/>
  <c r="Q16" i="1" s="1"/>
  <c r="P10" i="1"/>
  <c r="P16" i="1" s="1"/>
  <c r="S9" i="1"/>
  <c r="S15" i="1" s="1"/>
  <c r="R9" i="1"/>
  <c r="R15" i="1" s="1"/>
  <c r="Q9" i="1"/>
  <c r="Q15" i="1" s="1"/>
  <c r="P9" i="1"/>
  <c r="P15" i="1" s="1"/>
  <c r="S8" i="1"/>
  <c r="S14" i="1" s="1"/>
  <c r="R8" i="1"/>
  <c r="R14" i="1" s="1"/>
  <c r="Q8" i="1"/>
  <c r="Q14" i="1" s="1"/>
  <c r="P8" i="1"/>
  <c r="P14" i="1" s="1"/>
  <c r="U6" i="1"/>
  <c r="T6" i="1"/>
  <c r="U5" i="1"/>
  <c r="T5" i="1"/>
  <c r="U4" i="1"/>
  <c r="T4" i="1"/>
  <c r="U3" i="1"/>
  <c r="T3" i="1"/>
  <c r="U2" i="1"/>
  <c r="T2" i="1"/>
  <c r="K6" i="1"/>
  <c r="J6" i="1"/>
  <c r="J12" i="1" s="1" a="1"/>
  <c r="J12" i="1" s="1"/>
  <c r="J18" i="1" s="1"/>
  <c r="J24" i="1" s="1"/>
  <c r="K5" i="1"/>
  <c r="K11" i="1" s="1" a="1"/>
  <c r="K11" i="1" s="1"/>
  <c r="K17" i="1" s="1"/>
  <c r="K23" i="1" s="1"/>
  <c r="J5" i="1"/>
  <c r="J11" i="1" s="1" a="1"/>
  <c r="J11" i="1" s="1"/>
  <c r="J17" i="1" s="1"/>
  <c r="K4" i="1"/>
  <c r="J4" i="1"/>
  <c r="J10" i="1" s="1" a="1"/>
  <c r="J10" i="1" s="1"/>
  <c r="J16" i="1" s="1"/>
  <c r="J22" i="1" s="1"/>
  <c r="K3" i="1"/>
  <c r="K9" i="1" s="1" a="1"/>
  <c r="K9" i="1" s="1"/>
  <c r="K15" i="1" s="1"/>
  <c r="K21" i="1" s="1"/>
  <c r="J3" i="1"/>
  <c r="J9" i="1" s="1" a="1"/>
  <c r="J9" i="1" s="1"/>
  <c r="J15" i="1" s="1"/>
  <c r="J21" i="1" s="1"/>
  <c r="K2" i="1"/>
  <c r="J2" i="1"/>
  <c r="J8" i="1" s="1" a="1"/>
  <c r="J8" i="1" s="1"/>
  <c r="J14" i="1" s="1"/>
  <c r="I6" i="1"/>
  <c r="I5" i="1"/>
  <c r="I4" i="1"/>
  <c r="I3" i="1"/>
  <c r="I2" i="1"/>
  <c r="T2" i="2"/>
  <c r="U2" i="2"/>
  <c r="T3" i="2"/>
  <c r="U3" i="2"/>
  <c r="T4" i="2"/>
  <c r="U4" i="2"/>
  <c r="T5" i="2"/>
  <c r="U5" i="2"/>
  <c r="T6" i="2"/>
  <c r="Y2" i="2" s="1"/>
  <c r="U6" i="2"/>
  <c r="P8" i="2"/>
  <c r="Q8" i="2"/>
  <c r="R8" i="2"/>
  <c r="S8" i="2"/>
  <c r="U8" i="2" s="1"/>
  <c r="U14" i="2" s="1"/>
  <c r="T8" i="2"/>
  <c r="T14" i="2" s="1"/>
  <c r="I9" i="2"/>
  <c r="J9" i="2"/>
  <c r="J15" i="2" s="1" a="1"/>
  <c r="J15" i="2" s="1"/>
  <c r="J21" i="2" s="1"/>
  <c r="J27" i="2" s="1"/>
  <c r="K9" i="2"/>
  <c r="L9" i="2" s="1"/>
  <c r="P9" i="2"/>
  <c r="T9" i="2" s="1"/>
  <c r="T15" i="2" s="1"/>
  <c r="Q9" i="2"/>
  <c r="R9" i="2"/>
  <c r="S9" i="2"/>
  <c r="U9" i="2" s="1"/>
  <c r="U15" i="2" s="1"/>
  <c r="I10" i="2"/>
  <c r="J10" i="2"/>
  <c r="K10" i="2"/>
  <c r="L10" i="2" s="1"/>
  <c r="P10" i="2"/>
  <c r="P16" i="2" s="1"/>
  <c r="Q10" i="2"/>
  <c r="R10" i="2"/>
  <c r="S10" i="2"/>
  <c r="U10" i="2" s="1"/>
  <c r="U16" i="2" s="1"/>
  <c r="T10" i="2"/>
  <c r="I11" i="2"/>
  <c r="J11" i="2"/>
  <c r="J17" i="2" s="1" a="1"/>
  <c r="J17" i="2" s="1"/>
  <c r="J23" i="2" s="1"/>
  <c r="J29" i="2" s="1"/>
  <c r="K11" i="2"/>
  <c r="L11" i="2" s="1"/>
  <c r="P11" i="2"/>
  <c r="T11" i="2" s="1"/>
  <c r="T17" i="2" s="1"/>
  <c r="Q11" i="2"/>
  <c r="R11" i="2"/>
  <c r="S11" i="2"/>
  <c r="U11" i="2" s="1"/>
  <c r="U17" i="2" s="1"/>
  <c r="I12" i="2"/>
  <c r="J12" i="2"/>
  <c r="J18" i="2" s="1" a="1"/>
  <c r="J18" i="2" s="1"/>
  <c r="J24" i="2" s="1"/>
  <c r="J30" i="2" s="1"/>
  <c r="K12" i="2"/>
  <c r="L12" i="2" s="1"/>
  <c r="P12" i="2"/>
  <c r="Q12" i="2"/>
  <c r="R12" i="2"/>
  <c r="S12" i="2"/>
  <c r="U12" i="2" s="1"/>
  <c r="U18" i="2" s="1"/>
  <c r="T12" i="2"/>
  <c r="I13" i="2"/>
  <c r="J13" i="2"/>
  <c r="J19" i="2" s="1" a="1"/>
  <c r="J19" i="2" s="1"/>
  <c r="J25" i="2" s="1"/>
  <c r="J31" i="2" s="1"/>
  <c r="K13" i="2"/>
  <c r="L13" i="2" s="1"/>
  <c r="P14" i="2"/>
  <c r="Q14" i="2"/>
  <c r="R14" i="2"/>
  <c r="K15" i="2" a="1"/>
  <c r="K15" i="2" s="1"/>
  <c r="K21" i="2" s="1"/>
  <c r="K27" i="2" s="1"/>
  <c r="Q15" i="2"/>
  <c r="R15" i="2"/>
  <c r="J16" i="2" a="1"/>
  <c r="J16" i="2" s="1"/>
  <c r="J22" i="2" s="1"/>
  <c r="J28" i="2" s="1"/>
  <c r="K16" i="2" a="1"/>
  <c r="K16" i="2" s="1"/>
  <c r="K22" i="2" s="1"/>
  <c r="K28" i="2" s="1"/>
  <c r="M16" i="2"/>
  <c r="Q16" i="2"/>
  <c r="R16" i="2"/>
  <c r="T16" i="2"/>
  <c r="K17" i="2" a="1"/>
  <c r="K17" i="2" s="1"/>
  <c r="K23" i="2" s="1"/>
  <c r="K29" i="2" s="1"/>
  <c r="P17" i="2"/>
  <c r="Q17" i="2"/>
  <c r="R17" i="2"/>
  <c r="S17" i="2"/>
  <c r="K18" i="2" a="1"/>
  <c r="K18" i="2" s="1"/>
  <c r="K24" i="2" s="1"/>
  <c r="K30" i="2" s="1"/>
  <c r="N18" i="2"/>
  <c r="P18" i="2"/>
  <c r="Q18" i="2"/>
  <c r="R18" i="2"/>
  <c r="S18" i="2"/>
  <c r="T18" i="2"/>
  <c r="K19" i="2" a="1"/>
  <c r="K19" i="2" s="1"/>
  <c r="K25" i="2" s="1"/>
  <c r="K31" i="2" s="1"/>
  <c r="S26" i="2"/>
  <c r="L4" i="1" l="1"/>
  <c r="U10" i="1"/>
  <c r="U16" i="1" s="1"/>
  <c r="L2" i="1"/>
  <c r="L6" i="1"/>
  <c r="Y2" i="1"/>
  <c r="V4" i="1" s="1"/>
  <c r="J23" i="1"/>
  <c r="J20" i="1"/>
  <c r="L5" i="1"/>
  <c r="L17" i="1" s="1"/>
  <c r="L23" i="1" s="1"/>
  <c r="K10" i="1" a="1"/>
  <c r="K10" i="1" s="1"/>
  <c r="K16" i="1" s="1"/>
  <c r="K22" i="1" s="1"/>
  <c r="T9" i="1"/>
  <c r="T15" i="1" s="1"/>
  <c r="U9" i="1"/>
  <c r="U15" i="1" s="1"/>
  <c r="L3" i="1"/>
  <c r="L15" i="1" s="1"/>
  <c r="L21" i="1" s="1"/>
  <c r="K8" i="1" a="1"/>
  <c r="K8" i="1" s="1"/>
  <c r="K14" i="1" s="1"/>
  <c r="K20" i="1" s="1"/>
  <c r="K12" i="1" a="1"/>
  <c r="K12" i="1" s="1"/>
  <c r="K18" i="1" s="1"/>
  <c r="K24" i="1" s="1"/>
  <c r="T11" i="1"/>
  <c r="T17" i="1" s="1"/>
  <c r="T8" i="1"/>
  <c r="T14" i="1" s="1"/>
  <c r="T12" i="1"/>
  <c r="T18" i="1" s="1"/>
  <c r="R16" i="1"/>
  <c r="U8" i="1"/>
  <c r="U14" i="1" s="1"/>
  <c r="U11" i="1"/>
  <c r="U17" i="1" s="1"/>
  <c r="T10" i="1"/>
  <c r="T16" i="1" s="1"/>
  <c r="P17" i="1"/>
  <c r="U12" i="1"/>
  <c r="U18" i="1" s="1"/>
  <c r="L23" i="2"/>
  <c r="L29" i="2" s="1"/>
  <c r="L25" i="2"/>
  <c r="L31" i="2" s="1"/>
  <c r="X3" i="2"/>
  <c r="M10" i="2"/>
  <c r="L22" i="2"/>
  <c r="L28" i="2" s="1"/>
  <c r="L24" i="2"/>
  <c r="L30" i="2" s="1"/>
  <c r="L21" i="2"/>
  <c r="L27" i="2" s="1"/>
  <c r="Q24" i="2"/>
  <c r="P24" i="2" s="1"/>
  <c r="V3" i="2"/>
  <c r="V7" i="2"/>
  <c r="V2" i="2"/>
  <c r="V5" i="2"/>
  <c r="X5" i="2"/>
  <c r="V4" i="2"/>
  <c r="X4" i="2"/>
  <c r="V6" i="2"/>
  <c r="X2" i="2"/>
  <c r="S14" i="2"/>
  <c r="P15" i="2"/>
  <c r="X6" i="2"/>
  <c r="S16" i="2"/>
  <c r="S15" i="2"/>
  <c r="V7" i="1" l="1"/>
  <c r="X5" i="1"/>
  <c r="V3" i="1"/>
  <c r="X6" i="1"/>
  <c r="V5" i="1"/>
  <c r="V6" i="1"/>
  <c r="V2" i="1"/>
  <c r="X2" i="1"/>
  <c r="X4" i="1"/>
  <c r="X3" i="1"/>
  <c r="L16" i="1"/>
  <c r="L22" i="1" s="1"/>
  <c r="L14" i="1"/>
  <c r="L20" i="1" s="1"/>
  <c r="L18" i="1"/>
  <c r="L24" i="1" s="1"/>
  <c r="Q24" i="1"/>
  <c r="P24" i="1" s="1"/>
  <c r="N13" i="2"/>
  <c r="N10" i="2"/>
  <c r="N12" i="2"/>
  <c r="N9" i="2"/>
  <c r="N11" i="2"/>
  <c r="M13" i="2"/>
  <c r="M9" i="2"/>
  <c r="N16" i="2" s="1"/>
  <c r="M18" i="2" s="1"/>
  <c r="M20" i="2" s="1"/>
  <c r="Z2" i="2"/>
  <c r="Y4" i="2" s="1"/>
  <c r="Z4" i="2" s="1"/>
  <c r="M12" i="2"/>
  <c r="M11" i="2"/>
  <c r="Z2" i="1" l="1"/>
  <c r="Y4" i="1" s="1"/>
  <c r="Z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<sst xmlns="http://schemas.openxmlformats.org/spreadsheetml/2006/main" count="85" uniqueCount="43">
  <si>
    <t>Относительная погрешность</t>
  </si>
  <si>
    <t>∆g</t>
  </si>
  <si>
    <t>g табл</t>
  </si>
  <si>
    <t>g эксп</t>
  </si>
  <si>
    <t>B</t>
  </si>
  <si>
    <t>A</t>
  </si>
  <si>
    <t>Абсолютная погрешность</t>
  </si>
  <si>
    <t>Относительная погрешность g</t>
  </si>
  <si>
    <t>Абсолютная погрешность g</t>
  </si>
  <si>
    <t>D</t>
  </si>
  <si>
    <t>Среднеквадратичное отклонение</t>
  </si>
  <si>
    <t>Относительные погрешности</t>
  </si>
  <si>
    <t>a = A + Bsina</t>
  </si>
  <si>
    <t>d</t>
  </si>
  <si>
    <r>
      <t xml:space="preserve">{a} +- 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</rPr>
      <t>a, м/с^2</t>
    </r>
  </si>
  <si>
    <r>
      <t xml:space="preserve">{t2} +- 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</rPr>
      <t>t2, с</t>
    </r>
  </si>
  <si>
    <r>
      <t xml:space="preserve">{t1} +- 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</rPr>
      <t>t1, с</t>
    </r>
  </si>
  <si>
    <t>Nпл</t>
  </si>
  <si>
    <t>t2, с</t>
  </si>
  <si>
    <t>t1, с</t>
  </si>
  <si>
    <t>№</t>
  </si>
  <si>
    <t>h', мм</t>
  </si>
  <si>
    <t>h, мм</t>
  </si>
  <si>
    <t>Абсолютные погрешности</t>
  </si>
  <si>
    <t>округ относ. Погр.</t>
  </si>
  <si>
    <t>округ абс. Погр.</t>
  </si>
  <si>
    <t>округ а</t>
  </si>
  <si>
    <t>Относит. погр.</t>
  </si>
  <si>
    <t>Абсолют. погр.</t>
  </si>
  <si>
    <t>Погрешности</t>
  </si>
  <si>
    <t>a</t>
  </si>
  <si>
    <t>Y-aZ</t>
  </si>
  <si>
    <t>Y=aZ</t>
  </si>
  <si>
    <t>(t2^2 - t1^2)/2, с^2</t>
  </si>
  <si>
    <t>x2-x1, м</t>
  </si>
  <si>
    <t>x2, м</t>
  </si>
  <si>
    <t>x1, м</t>
  </si>
  <si>
    <t>h0', мм</t>
  </si>
  <si>
    <t>h0, мм</t>
  </si>
  <si>
    <t>x', м</t>
  </si>
  <si>
    <t>x, м</t>
  </si>
  <si>
    <t>N Пластины</t>
  </si>
  <si>
    <t>Эксперемениальные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</si>
</sst>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"/>
    <numFmt numFmtId="166" formatCode="0.00000000000000000"/>
    <numFmt numFmtId="167" formatCode="0.0000"/>
    <numFmt numFmtId="168" formatCode="0.000000000000000"/>
    <numFmt numFmtId="169" formatCode="0.0"/>
    <numFmt numFmtId="170" formatCode="0.00000000"/>
    <numFmt numFmtId="171" formatCode="0.0000000"/>
    <numFmt numFmtId="173" formatCode="0.000000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165" fontId="1" fillId="0" borderId="0" xfId="1" applyNumberFormat="1"/>
    <xf numFmtId="166" fontId="1" fillId="0" borderId="0" xfId="1" applyNumberFormat="1"/>
    <xf numFmtId="167" fontId="1" fillId="0" borderId="0" xfId="1" applyNumberFormat="1"/>
    <xf numFmtId="168" fontId="1" fillId="0" borderId="0" xfId="1" applyNumberFormat="1"/>
    <xf numFmtId="169" fontId="0" fillId="0" borderId="0" xfId="0" applyNumberFormat="1"/>
    <xf numFmtId="170" fontId="1" fillId="0" borderId="0" xfId="1" applyNumberFormat="1"/>
    <xf numFmtId="169" fontId="1" fillId="0" borderId="0" xfId="1" applyNumberFormat="1"/>
    <xf numFmtId="2" fontId="0" fillId="0" borderId="0" xfId="0" applyNumberFormat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171" fontId="1" fillId="0" borderId="0" xfId="1" applyNumberFormat="1"/>
    <xf numFmtId="173" fontId="1" fillId="0" borderId="0" xfId="1" applyNumberFormat="1"/>
  </cellXfs>
  <cellStyles count="2">
    <cellStyle name="Обычный" xfId="0" builtinId="0"/>
    <cellStyle name="Обычный 2" xfId="1" xr:uid="{108417B1-14A5-48D5-BC44-7ACE10CD6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sz="1800" b="0" i="0" baseline="0">
                <a:effectLst/>
              </a:rPr>
              <a:t>Зависимость </a:t>
            </a:r>
            <a:r>
              <a:rPr lang="en-US" sz="1800" b="0" i="0" baseline="0">
                <a:effectLst/>
              </a:rPr>
              <a:t>Y </a:t>
            </a:r>
            <a:r>
              <a:rPr lang="ru-RU" sz="1800" b="0" i="0" baseline="0">
                <a:effectLst/>
              </a:rPr>
              <a:t>от </a:t>
            </a:r>
            <a:r>
              <a:rPr lang="en-US" sz="1800" b="0" i="0" baseline="0">
                <a:effectLst/>
              </a:rPr>
              <a:t>Z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Данные!$AA$13</c:f>
              <c:strCache>
                <c:ptCount val="1"/>
                <c:pt idx="0">
                  <c:v>Эксперемениальные данные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19050" cap="flat" cmpd="dbl" algn="ctr">
                <a:solidFill>
                  <a:srgbClr val="FF0000"/>
                </a:solidFill>
                <a:round/>
              </a:ln>
              <a:effectLst/>
            </c:spPr>
          </c:marker>
          <c:trendline>
            <c:spPr>
              <a:ln w="9525" cap="rnd" cmpd="sng" algn="ctr">
                <a:solidFill>
                  <a:schemeClr val="tx1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Данные!$Z$14:$Z$18</c:f>
              <c:numCache>
                <c:formatCode>General</c:formatCode>
                <c:ptCount val="5"/>
                <c:pt idx="0">
                  <c:v>2.5350000000000001</c:v>
                </c:pt>
                <c:pt idx="1">
                  <c:v>3.6549999999999998</c:v>
                </c:pt>
                <c:pt idx="2">
                  <c:v>5.6350000000000007</c:v>
                </c:pt>
                <c:pt idx="3">
                  <c:v>7.8400000000000007</c:v>
                </c:pt>
                <c:pt idx="4">
                  <c:v>10.065000000000001</c:v>
                </c:pt>
              </c:numCache>
            </c:numRef>
          </c:xVal>
          <c:yVal>
            <c:numRef>
              <c:f>Данные!$AA$14:$AA$18</c:f>
              <c:numCache>
                <c:formatCode>0.00</c:formatCode>
                <c:ptCount val="5"/>
                <c:pt idx="0">
                  <c:v>0.24194531896338123</c:v>
                </c:pt>
                <c:pt idx="1">
                  <c:v>0.34884029223319857</c:v>
                </c:pt>
                <c:pt idx="2">
                  <c:v>0.5378153342637686</c:v>
                </c:pt>
                <c:pt idx="3">
                  <c:v>0.74826481288872149</c:v>
                </c:pt>
                <c:pt idx="4">
                  <c:v>0.96062313032206403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7-402C-A415-5D9C1D70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09808"/>
        <c:axId val="1573961648"/>
      </c:scatterChart>
      <c:valAx>
        <c:axId val="145150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z, </a:t>
                </a:r>
                <a:r>
                  <a:rPr lang="ru-RU"/>
                  <a:t>с</a:t>
                </a:r>
                <a:r>
                  <a:rPr lang="en-US"/>
                  <a:t>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961648"/>
        <c:crosses val="autoZero"/>
        <c:crossBetween val="midCat"/>
      </c:valAx>
      <c:valAx>
        <c:axId val="15739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Y, </a:t>
                </a:r>
                <a:r>
                  <a:rPr lang="ru-RU" sz="800"/>
                  <a:t>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0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ускорения от угла наклона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Данные!$V$25</c:f>
              <c:strCache>
                <c:ptCount val="1"/>
                <c:pt idx="0">
                  <c:v>Эксперемениальные данные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Данные!$U$26:$U$30</c:f>
              <c:numCache>
                <c:formatCode>General</c:formatCode>
                <c:ptCount val="5"/>
                <c:pt idx="0">
                  <c:v>1.282051282051282E-2</c:v>
                </c:pt>
                <c:pt idx="1">
                  <c:v>2.564102564102564E-2</c:v>
                </c:pt>
                <c:pt idx="2">
                  <c:v>3.3333333333333333E-2</c:v>
                </c:pt>
                <c:pt idx="3">
                  <c:v>4.4871794871794872E-2</c:v>
                </c:pt>
                <c:pt idx="4">
                  <c:v>5.6410256410256411E-2</c:v>
                </c:pt>
              </c:numCache>
            </c:numRef>
          </c:xVal>
          <c:yVal>
            <c:numRef>
              <c:f>Данные!$V$26:$V$30</c:f>
              <c:numCache>
                <c:formatCode>General</c:formatCode>
                <c:ptCount val="5"/>
                <c:pt idx="0">
                  <c:v>9.8252146033716001E-2</c:v>
                </c:pt>
                <c:pt idx="1">
                  <c:v>0.20505072307360231</c:v>
                </c:pt>
                <c:pt idx="2">
                  <c:v>0.31334520746751104</c:v>
                </c:pt>
                <c:pt idx="3">
                  <c:v>0.41813380281690138</c:v>
                </c:pt>
                <c:pt idx="4">
                  <c:v>0.51540798611111116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2-4C3F-A4A0-A3308EF2F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568016"/>
        <c:axId val="1453778672"/>
      </c:scatterChart>
      <c:valAx>
        <c:axId val="159256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sin(a)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778672"/>
        <c:crosses val="autoZero"/>
        <c:crossBetween val="midCat"/>
      </c:valAx>
      <c:valAx>
        <c:axId val="14537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a, </a:t>
                </a:r>
                <a:r>
                  <a:rPr lang="ru-RU"/>
                  <a:t>м</a:t>
                </a:r>
                <a:r>
                  <a:rPr lang="en-US"/>
                  <a:t>/</a:t>
                </a:r>
                <a:r>
                  <a:rPr lang="ru-RU"/>
                  <a:t>с</a:t>
                </a:r>
                <a:r>
                  <a:rPr lang="en-US"/>
                  <a:t>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25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228599</xdr:colOff>
      <xdr:row>0</xdr:row>
      <xdr:rowOff>8964</xdr:rowOff>
    </xdr:from>
    <xdr:ext cx="3227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9F7F32-0753-4D86-8746-ABA42BA2436C}"/>
                </a:ext>
              </a:extLst>
            </xdr:cNvPr>
            <xdr:cNvSpPr txBox="1"/>
          </xdr:nvSpPr>
          <xdr:spPr>
            <a:xfrm>
              <a:off x="5038724" y="1342464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1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9F7F32-0753-4D86-8746-ABA42BA2436C}"/>
                </a:ext>
              </a:extLst>
            </xdr:cNvPr>
            <xdr:cNvSpPr txBox="1"/>
          </xdr:nvSpPr>
          <xdr:spPr>
            <a:xfrm>
              <a:off x="5038724" y="1342464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sin⁡𝛼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25</xdr:col>
      <xdr:colOff>236220</xdr:colOff>
      <xdr:row>0</xdr:row>
      <xdr:rowOff>3810</xdr:rowOff>
    </xdr:from>
    <xdr:ext cx="1774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44E85A1-6C77-4E72-92C7-BFC70E528E9D}"/>
                </a:ext>
              </a:extLst>
            </xdr:cNvPr>
            <xdr:cNvSpPr txBox="1"/>
          </xdr:nvSpPr>
          <xdr:spPr>
            <a:xfrm>
              <a:off x="23529608" y="3810"/>
              <a:ext cx="177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44E85A1-6C77-4E72-92C7-BFC70E528E9D}"/>
                </a:ext>
              </a:extLst>
            </xdr:cNvPr>
            <xdr:cNvSpPr txBox="1"/>
          </xdr:nvSpPr>
          <xdr:spPr>
            <a:xfrm>
              <a:off x="23529608" y="3810"/>
              <a:ext cx="177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𝜎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𝑎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24</xdr:col>
      <xdr:colOff>266229</xdr:colOff>
      <xdr:row>18</xdr:row>
      <xdr:rowOff>142190</xdr:rowOff>
    </xdr:from>
    <xdr:to>
      <xdr:col>28</xdr:col>
      <xdr:colOff>509397</xdr:colOff>
      <xdr:row>34</xdr:row>
      <xdr:rowOff>29571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65FA7B4-8215-D507-71BA-AE62C6B23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361389</xdr:colOff>
      <xdr:row>31</xdr:row>
      <xdr:rowOff>79561</xdr:rowOff>
    </xdr:from>
    <xdr:to>
      <xdr:col>24</xdr:col>
      <xdr:colOff>170889</xdr:colOff>
      <xdr:row>46</xdr:row>
      <xdr:rowOff>133350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B500789-39B8-5E0C-16FC-3B5FD42A9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236220</xdr:colOff>
      <xdr:row>0</xdr:row>
      <xdr:rowOff>3810</xdr:rowOff>
    </xdr:from>
    <xdr:ext cx="17742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5BC11F-AFBA-464B-8EBE-C6B396B046B9}"/>
                </a:ext>
              </a:extLst>
            </xdr:cNvPr>
            <xdr:cNvSpPr txBox="1"/>
          </xdr:nvSpPr>
          <xdr:spPr>
            <a:xfrm>
              <a:off x="23551763" y="3810"/>
              <a:ext cx="177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5BC11F-AFBA-464B-8EBE-C6B396B046B9}"/>
                </a:ext>
              </a:extLst>
            </xdr:cNvPr>
            <xdr:cNvSpPr txBox="1"/>
          </xdr:nvSpPr>
          <xdr:spPr>
            <a:xfrm>
              <a:off x="23551763" y="3810"/>
              <a:ext cx="177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𝜎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255494</xdr:colOff>
      <xdr:row>13</xdr:row>
      <xdr:rowOff>170329</xdr:rowOff>
    </xdr:from>
    <xdr:ext cx="174278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EBCE59E-4F5D-4450-8166-71DD52C2C8EB}"/>
                </a:ext>
              </a:extLst>
            </xdr:cNvPr>
            <xdr:cNvSpPr txBox="1"/>
          </xdr:nvSpPr>
          <xdr:spPr>
            <a:xfrm>
              <a:off x="8675594" y="2523004"/>
              <a:ext cx="174278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EBCE59E-4F5D-4450-8166-71DD52C2C8EB}"/>
                </a:ext>
              </a:extLst>
            </xdr:cNvPr>
            <xdr:cNvSpPr txBox="1"/>
          </xdr:nvSpPr>
          <xdr:spPr>
            <a:xfrm>
              <a:off x="8675594" y="2523004"/>
              <a:ext cx="174278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𝜎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𝑔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228599</xdr:colOff>
      <xdr:row>7</xdr:row>
      <xdr:rowOff>8964</xdr:rowOff>
    </xdr:from>
    <xdr:ext cx="3227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8596751-2BBF-47A6-8F2E-2FFEDE4CEB5E}"/>
                </a:ext>
              </a:extLst>
            </xdr:cNvPr>
            <xdr:cNvSpPr txBox="1"/>
          </xdr:nvSpPr>
          <xdr:spPr>
            <a:xfrm>
              <a:off x="5410199" y="1275789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1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8596751-2BBF-47A6-8F2E-2FFEDE4CEB5E}"/>
                </a:ext>
              </a:extLst>
            </xdr:cNvPr>
            <xdr:cNvSpPr txBox="1"/>
          </xdr:nvSpPr>
          <xdr:spPr>
            <a:xfrm>
              <a:off x="5410199" y="1275789"/>
              <a:ext cx="3227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sin⁡𝛼</a:t>
              </a:r>
              <a:endParaRPr lang="ru-RU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62E-4069-4A7D-B1FC-273A7D508B2A}">
  <dimension ref="A1:AA31"/>
  <sheetViews>
    <sheetView tabSelected="1" topLeftCell="L1" zoomScaleNormal="100" workbookViewId="0">
      <selection activeCell="Z4" sqref="Z4"/>
    </sheetView>
  </sheetViews>
  <sheetFormatPr defaultRowHeight="14.25" x14ac:dyDescent="0.45"/>
  <cols>
    <col min="1" max="1" width="10.59765625" bestFit="1" customWidth="1"/>
    <col min="9" max="9" width="28.73046875" customWidth="1"/>
    <col min="10" max="11" width="15.86328125" customWidth="1"/>
    <col min="12" max="12" width="16.265625" customWidth="1"/>
    <col min="20" max="20" width="9.19921875" bestFit="1" customWidth="1"/>
    <col min="21" max="21" width="18.59765625" customWidth="1"/>
    <col min="22" max="22" width="20.73046875" customWidth="1"/>
    <col min="25" max="25" width="10.19921875" bestFit="1" customWidth="1"/>
    <col min="27" max="27" width="17.3984375" bestFit="1" customWidth="1"/>
    <col min="28" max="28" width="25.265625" customWidth="1"/>
  </cols>
  <sheetData>
    <row r="1" spans="1:27" x14ac:dyDescent="0.45">
      <c r="A1" t="s">
        <v>41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H1" s="1" t="s">
        <v>17</v>
      </c>
      <c r="I1" s="1"/>
      <c r="J1" s="1" t="s">
        <v>16</v>
      </c>
      <c r="K1" s="1" t="s">
        <v>15</v>
      </c>
      <c r="L1" s="1" t="s">
        <v>14</v>
      </c>
      <c r="P1" s="1" t="s">
        <v>36</v>
      </c>
      <c r="Q1" s="1" t="s">
        <v>35</v>
      </c>
      <c r="R1" s="1" t="s">
        <v>19</v>
      </c>
      <c r="S1" s="1" t="s">
        <v>18</v>
      </c>
      <c r="T1" s="1" t="s">
        <v>34</v>
      </c>
      <c r="U1" s="1" t="s">
        <v>33</v>
      </c>
      <c r="V1" s="1" t="s">
        <v>32</v>
      </c>
      <c r="W1" s="1"/>
      <c r="X1" s="1" t="s">
        <v>31</v>
      </c>
      <c r="Y1" s="1" t="s">
        <v>30</v>
      </c>
      <c r="Z1" s="1"/>
      <c r="AA1" s="1"/>
    </row>
    <row r="2" spans="1:27" x14ac:dyDescent="0.45">
      <c r="A2" s="12">
        <v>1</v>
      </c>
      <c r="B2" s="12">
        <v>190</v>
      </c>
      <c r="C2" s="12">
        <v>200</v>
      </c>
      <c r="D2">
        <v>1</v>
      </c>
      <c r="E2">
        <v>1.3</v>
      </c>
      <c r="F2">
        <v>4.5999999999999996</v>
      </c>
      <c r="H2" s="1">
        <v>1</v>
      </c>
      <c r="I2" s="4">
        <f>(($C$29-B2)-($D$29-C2))/($B$29-$A$29)/1000</f>
        <v>1.282051282051282E-2</v>
      </c>
      <c r="J2" s="1">
        <f>AVERAGE(E2:E6)</f>
        <v>1.2799999999999998</v>
      </c>
      <c r="K2" s="4">
        <f>AVERAGE(F2:F6)</f>
        <v>4.58</v>
      </c>
      <c r="L2" s="9">
        <f>2*(1.1-0.15)/(K2^2-J2^2)</f>
        <v>9.8252146033716001E-2</v>
      </c>
      <c r="P2" s="1">
        <v>0.15</v>
      </c>
      <c r="Q2" s="1">
        <v>0.4</v>
      </c>
      <c r="R2" s="1">
        <v>1.3</v>
      </c>
      <c r="S2" s="1">
        <v>2.6</v>
      </c>
      <c r="T2" s="1">
        <f>Q2-P2</f>
        <v>0.25</v>
      </c>
      <c r="U2" s="3">
        <f>(S2^2-R2^2)/2</f>
        <v>2.5350000000000001</v>
      </c>
      <c r="V2" s="7">
        <f>$Y$2*0</f>
        <v>0</v>
      </c>
      <c r="W2" s="1"/>
      <c r="X2" s="1">
        <f>T2-$Y$2*U2</f>
        <v>8.0546810366187716E-3</v>
      </c>
      <c r="Y2" s="1">
        <f>SUMPRODUCT(U2:U6,T2:T6)/SUMSQ(U2:U6)</f>
        <v>9.5441940419479773E-2</v>
      </c>
      <c r="Z2" s="1">
        <f>SQRT(SUMSQ(X2:X6)/(4*SUMSQ(U2:U6)))</f>
        <v>6.2096843252407163E-4</v>
      </c>
      <c r="AA2" s="1"/>
    </row>
    <row r="3" spans="1:27" x14ac:dyDescent="0.45">
      <c r="A3" s="12"/>
      <c r="B3" s="12"/>
      <c r="C3" s="12"/>
      <c r="D3">
        <v>2</v>
      </c>
      <c r="E3">
        <v>1.2</v>
      </c>
      <c r="F3">
        <v>4.5</v>
      </c>
      <c r="H3" s="1">
        <v>2</v>
      </c>
      <c r="I3" s="4">
        <f>(($C$29-B7)-($D$29-C7))/($B$29-$A$29)/1000</f>
        <v>2.564102564102564E-2</v>
      </c>
      <c r="J3" s="1">
        <f>AVERAGE(E7:E11)</f>
        <v>0.91999999999999993</v>
      </c>
      <c r="K3" s="1">
        <f>AVERAGE(F7:F11)</f>
        <v>3.1800000000000006</v>
      </c>
      <c r="L3" s="9">
        <f>2*(1.1-0.15)/(K3^2-J3^2)</f>
        <v>0.20505072307360231</v>
      </c>
      <c r="P3" s="1">
        <v>0.15</v>
      </c>
      <c r="Q3" s="1">
        <v>0.5</v>
      </c>
      <c r="R3" s="1">
        <v>1.3</v>
      </c>
      <c r="S3" s="1">
        <v>3</v>
      </c>
      <c r="T3" s="1">
        <f>Q3-P3</f>
        <v>0.35</v>
      </c>
      <c r="U3" s="3">
        <f>(S3^2-R3^2)/2</f>
        <v>3.6549999999999998</v>
      </c>
      <c r="V3" s="7">
        <f>$Y$2*U2</f>
        <v>0.24194531896338123</v>
      </c>
      <c r="W3" s="1"/>
      <c r="X3" s="1">
        <f>T3-$Y$2*U3</f>
        <v>1.15970776680141E-3</v>
      </c>
      <c r="Y3" s="1" t="s">
        <v>28</v>
      </c>
      <c r="Z3" s="1" t="s">
        <v>27</v>
      </c>
      <c r="AA3" s="1"/>
    </row>
    <row r="4" spans="1:27" x14ac:dyDescent="0.45">
      <c r="A4" s="12"/>
      <c r="B4" s="12"/>
      <c r="C4" s="12"/>
      <c r="D4">
        <v>3</v>
      </c>
      <c r="E4">
        <v>1.3</v>
      </c>
      <c r="F4">
        <v>4.5999999999999996</v>
      </c>
      <c r="H4" s="1">
        <v>3</v>
      </c>
      <c r="I4" s="4">
        <f>(($C$29-B12)-($D$29-C12))/($B$29-$A$29)/1000</f>
        <v>3.3333333333333333E-2</v>
      </c>
      <c r="J4" s="10">
        <f>AVERAGE(E12:E16)</f>
        <v>0.7</v>
      </c>
      <c r="K4" s="1">
        <f>AVERAGE(F12:F16)</f>
        <v>2.56</v>
      </c>
      <c r="L4" s="9">
        <f>2*(1.1-0.15)/(K4^2-J4^2)</f>
        <v>0.31334520746751104</v>
      </c>
      <c r="P4" s="1">
        <v>0.15</v>
      </c>
      <c r="Q4" s="1">
        <v>0.7</v>
      </c>
      <c r="R4" s="1">
        <v>1.3</v>
      </c>
      <c r="S4" s="1">
        <v>3.6</v>
      </c>
      <c r="T4" s="1">
        <f>Q4-P4</f>
        <v>0.54999999999999993</v>
      </c>
      <c r="U4" s="3">
        <f>(S4^2-R4^2)/2</f>
        <v>5.6350000000000007</v>
      </c>
      <c r="V4" s="7">
        <f>$Y$2*U3</f>
        <v>0.34884029223319857</v>
      </c>
      <c r="W4" s="1"/>
      <c r="X4" s="1">
        <f>T4-$Y$2*U4</f>
        <v>1.2184665736231337E-2</v>
      </c>
      <c r="Y4" s="14">
        <f>2*Z2</f>
        <v>1.2419368650481433E-3</v>
      </c>
      <c r="Z4" s="1">
        <f>Y4/Y2</f>
        <v>1.3012485492118756E-2</v>
      </c>
      <c r="AA4" s="1"/>
    </row>
    <row r="5" spans="1:27" x14ac:dyDescent="0.45">
      <c r="A5" s="12"/>
      <c r="B5" s="12"/>
      <c r="C5" s="12"/>
      <c r="D5">
        <v>4</v>
      </c>
      <c r="E5">
        <v>1.3</v>
      </c>
      <c r="F5">
        <v>4.5999999999999996</v>
      </c>
      <c r="H5" s="1">
        <v>4</v>
      </c>
      <c r="I5" s="4">
        <f>(($C$29-B17)-($D$29-C17))/($B$29-$A$29)/1000</f>
        <v>4.4871794871794872E-2</v>
      </c>
      <c r="J5" s="1">
        <f>AVERAGE(E17:E21)</f>
        <v>0.62</v>
      </c>
      <c r="K5" s="1">
        <f>AVERAGE(F17:F21)</f>
        <v>2.2200000000000002</v>
      </c>
      <c r="L5" s="9">
        <f>2*(1.1-0.15)/(K5^2-J5^2)</f>
        <v>0.41813380281690138</v>
      </c>
      <c r="P5" s="1">
        <v>0.15</v>
      </c>
      <c r="Q5" s="1">
        <v>0.9</v>
      </c>
      <c r="R5" s="1">
        <v>1.4</v>
      </c>
      <c r="S5" s="1">
        <v>4.2</v>
      </c>
      <c r="T5" s="1">
        <f>Q5-P5</f>
        <v>0.75</v>
      </c>
      <c r="U5" s="4">
        <f>(S5^2-R5^2)/2</f>
        <v>7.8400000000000007</v>
      </c>
      <c r="V5" s="7">
        <f>$Y$2*U4</f>
        <v>0.5378153342637686</v>
      </c>
      <c r="W5" s="1"/>
      <c r="X5" s="1">
        <f>T5-$Y$2*U5</f>
        <v>1.7351871112785133E-3</v>
      </c>
      <c r="Y5" s="1"/>
      <c r="Z5" s="1"/>
      <c r="AA5" s="1"/>
    </row>
    <row r="6" spans="1:27" x14ac:dyDescent="0.45">
      <c r="A6" s="12"/>
      <c r="B6" s="12"/>
      <c r="C6" s="12"/>
      <c r="D6">
        <v>5</v>
      </c>
      <c r="E6">
        <v>1.3</v>
      </c>
      <c r="F6">
        <v>4.5999999999999996</v>
      </c>
      <c r="H6" s="1">
        <v>5</v>
      </c>
      <c r="I6" s="4">
        <f>(($C$29-B22)-($D$29-C22))/($B$29-$A$29)/1000</f>
        <v>5.6410256410256411E-2</v>
      </c>
      <c r="J6" s="1">
        <f>AVERAGE(E22:E26)</f>
        <v>0.55999999999999994</v>
      </c>
      <c r="K6" s="1">
        <f>AVERAGE(F22:F26)</f>
        <v>2</v>
      </c>
      <c r="L6" s="9">
        <f>2*(1.1-0.15)/(K6^2-J6^2)</f>
        <v>0.51540798611111116</v>
      </c>
      <c r="P6" s="1">
        <v>0.15</v>
      </c>
      <c r="Q6" s="1">
        <v>1.1000000000000001</v>
      </c>
      <c r="R6" s="1">
        <v>1.4</v>
      </c>
      <c r="S6" s="1">
        <v>4.7</v>
      </c>
      <c r="T6" s="1">
        <f>Q6-P6</f>
        <v>0.95000000000000007</v>
      </c>
      <c r="U6" s="3">
        <f>(S6^2-R6^2)/2</f>
        <v>10.065000000000001</v>
      </c>
      <c r="V6" s="7">
        <f>$Y$2*U5</f>
        <v>0.74826481288872149</v>
      </c>
      <c r="W6" s="1"/>
      <c r="X6" s="1">
        <f>T6-$Y$2*U6</f>
        <v>-1.0623130322063967E-2</v>
      </c>
      <c r="Y6" s="1" t="s">
        <v>26</v>
      </c>
      <c r="Z6" s="1" t="s">
        <v>25</v>
      </c>
      <c r="AA6" s="1" t="s">
        <v>24</v>
      </c>
    </row>
    <row r="7" spans="1:27" x14ac:dyDescent="0.45">
      <c r="A7" s="12">
        <v>2</v>
      </c>
      <c r="B7" s="12">
        <v>180</v>
      </c>
      <c r="C7" s="12">
        <v>200</v>
      </c>
      <c r="D7">
        <v>1</v>
      </c>
      <c r="E7">
        <v>0.9</v>
      </c>
      <c r="F7">
        <v>3.2</v>
      </c>
      <c r="J7" s="13" t="s">
        <v>10</v>
      </c>
      <c r="K7" s="13"/>
      <c r="P7" s="13" t="s">
        <v>23</v>
      </c>
      <c r="Q7" s="13"/>
      <c r="R7" s="13"/>
      <c r="S7" s="13"/>
      <c r="T7" s="13"/>
      <c r="U7" s="13"/>
      <c r="V7" s="7">
        <f>$Y$2*U6</f>
        <v>0.96062313032206403</v>
      </c>
      <c r="W7" s="1"/>
      <c r="X7" s="1"/>
      <c r="Y7" s="1">
        <v>0.1037</v>
      </c>
      <c r="Z7" s="1">
        <v>1.5E-3</v>
      </c>
      <c r="AA7" s="1">
        <v>1.4E-2</v>
      </c>
    </row>
    <row r="8" spans="1:27" x14ac:dyDescent="0.45">
      <c r="A8" s="12"/>
      <c r="B8" s="12"/>
      <c r="C8" s="12"/>
      <c r="D8">
        <v>2</v>
      </c>
      <c r="E8">
        <v>0.9</v>
      </c>
      <c r="F8">
        <v>3.2</v>
      </c>
      <c r="J8" s="1" cm="1">
        <f t="array" ref="J8">SQRT(SUMSQ(E2:E6-J2)/20)</f>
        <v>2.0000000000000018E-2</v>
      </c>
      <c r="K8" s="1" cm="1">
        <f t="array" ref="K8">SQRT(SUMSQ(F2:F6-K2)/20)</f>
        <v>1.9999999999999928E-2</v>
      </c>
      <c r="P8" s="1">
        <f t="shared" ref="P8:Q12" si="0">0.005*2/3</f>
        <v>3.3333333333333335E-3</v>
      </c>
      <c r="Q8" s="1">
        <f t="shared" si="0"/>
        <v>3.3333333333333335E-3</v>
      </c>
      <c r="R8" s="1">
        <f t="shared" ref="R8:S12" si="1">0.1*2/3</f>
        <v>6.6666666666666666E-2</v>
      </c>
      <c r="S8" s="1">
        <f t="shared" si="1"/>
        <v>6.6666666666666666E-2</v>
      </c>
      <c r="T8" s="2">
        <f>SQRT(Q8^2 + P8^2)</f>
        <v>4.7140452079103175E-3</v>
      </c>
      <c r="U8" s="6">
        <f>SQRT((S2*S8)^2+(R2*R8)^2)</f>
        <v>0.19379255804998177</v>
      </c>
      <c r="Y8">
        <v>9.5399999999999999E-2</v>
      </c>
      <c r="Z8">
        <v>1.1999999999999999E-3</v>
      </c>
    </row>
    <row r="9" spans="1:27" x14ac:dyDescent="0.45">
      <c r="A9" s="12"/>
      <c r="B9" s="12"/>
      <c r="C9" s="12"/>
      <c r="D9">
        <v>3</v>
      </c>
      <c r="E9" s="8">
        <v>1</v>
      </c>
      <c r="F9">
        <v>3.2</v>
      </c>
      <c r="J9" s="1" cm="1">
        <f t="array" ref="J9">SQRT(SUMSQ(E7:E11-J3)/20)</f>
        <v>1.9999999999999997E-2</v>
      </c>
      <c r="K9" s="1" cm="1">
        <f t="array" ref="K9">SQRT(SUMSQ(F7:F11-K3)/20)</f>
        <v>2.0000000000000018E-2</v>
      </c>
      <c r="P9" s="1">
        <f t="shared" si="0"/>
        <v>3.3333333333333335E-3</v>
      </c>
      <c r="Q9" s="1">
        <f t="shared" si="0"/>
        <v>3.3333333333333335E-3</v>
      </c>
      <c r="R9" s="1">
        <f t="shared" si="1"/>
        <v>6.6666666666666666E-2</v>
      </c>
      <c r="S9" s="1">
        <f t="shared" si="1"/>
        <v>6.6666666666666666E-2</v>
      </c>
      <c r="T9" s="2">
        <f>SQRT(Q9^2 + P9^2)</f>
        <v>4.7140452079103175E-3</v>
      </c>
      <c r="U9" s="6">
        <f>SQRT((S3*S9)^2+(R3*R9)^2)</f>
        <v>0.21797043632362423</v>
      </c>
    </row>
    <row r="10" spans="1:27" x14ac:dyDescent="0.45">
      <c r="A10" s="12"/>
      <c r="B10" s="12"/>
      <c r="C10" s="12"/>
      <c r="D10">
        <v>4</v>
      </c>
      <c r="E10">
        <v>0.9</v>
      </c>
      <c r="F10">
        <v>3.1</v>
      </c>
      <c r="J10" s="1" cm="1">
        <f t="array" ref="J10">SQRT(SUMSQ(E12:E16-J4)/20)</f>
        <v>0</v>
      </c>
      <c r="K10" s="1" cm="1">
        <f t="array" ref="K10">SQRT(SUMSQ(F12:F16-K4)/20)</f>
        <v>2.4494897427831803E-2</v>
      </c>
      <c r="P10" s="1">
        <f t="shared" si="0"/>
        <v>3.3333333333333335E-3</v>
      </c>
      <c r="Q10" s="1">
        <f t="shared" si="0"/>
        <v>3.3333333333333335E-3</v>
      </c>
      <c r="R10" s="1">
        <f t="shared" si="1"/>
        <v>6.6666666666666666E-2</v>
      </c>
      <c r="S10" s="1">
        <f t="shared" si="1"/>
        <v>6.6666666666666666E-2</v>
      </c>
      <c r="T10" s="2">
        <f>SQRT(Q10^2 + P10^2)</f>
        <v>4.7140452079103175E-3</v>
      </c>
      <c r="U10" s="6">
        <f>SQRT((S4*S10)^2+(R4*R10)^2)</f>
        <v>0.25516878945339516</v>
      </c>
    </row>
    <row r="11" spans="1:27" x14ac:dyDescent="0.45">
      <c r="A11" s="12"/>
      <c r="B11" s="12"/>
      <c r="C11" s="12"/>
      <c r="D11">
        <v>5</v>
      </c>
      <c r="E11">
        <v>0.9</v>
      </c>
      <c r="F11">
        <v>3.2</v>
      </c>
      <c r="J11" s="1" cm="1">
        <f t="array" ref="J11">SQRT(SUMSQ(E17:E21-J5)/20)</f>
        <v>1.9999999999999997E-2</v>
      </c>
      <c r="K11" s="1" cm="1">
        <f t="array" ref="K11">SQRT(SUMSQ(F17:F21-K5)/20)</f>
        <v>1.9999999999999928E-2</v>
      </c>
      <c r="P11" s="1">
        <f t="shared" si="0"/>
        <v>3.3333333333333335E-3</v>
      </c>
      <c r="Q11" s="1">
        <f t="shared" si="0"/>
        <v>3.3333333333333335E-3</v>
      </c>
      <c r="R11" s="1">
        <f t="shared" si="1"/>
        <v>6.6666666666666666E-2</v>
      </c>
      <c r="S11" s="1">
        <f t="shared" si="1"/>
        <v>6.6666666666666666E-2</v>
      </c>
      <c r="T11" s="2">
        <f>SQRT(Q11^2 + P11^2)</f>
        <v>4.7140452079103175E-3</v>
      </c>
      <c r="U11" s="6">
        <f>SQRT((S5*S11)^2+(R5*R11)^2)</f>
        <v>0.29514591494904874</v>
      </c>
      <c r="Y11">
        <f>Z8/Y2</f>
        <v>1.2573088882370197E-2</v>
      </c>
    </row>
    <row r="12" spans="1:27" x14ac:dyDescent="0.45">
      <c r="A12" s="12">
        <v>3</v>
      </c>
      <c r="B12" s="12">
        <v>173</v>
      </c>
      <c r="C12" s="12">
        <v>199</v>
      </c>
      <c r="D12">
        <v>1</v>
      </c>
      <c r="E12">
        <v>0.7</v>
      </c>
      <c r="F12" s="8">
        <v>2.6</v>
      </c>
      <c r="J12" s="1" cm="1">
        <f t="array" ref="J12">SQRT(SUMSQ(E22:E26-J6)/20)</f>
        <v>2.4494897427831772E-2</v>
      </c>
      <c r="K12" s="1" cm="1">
        <f t="array" ref="K12">SQRT(SUMSQ(F22:F26-K6)/20)</f>
        <v>0</v>
      </c>
      <c r="P12" s="1">
        <f t="shared" si="0"/>
        <v>3.3333333333333335E-3</v>
      </c>
      <c r="Q12" s="1">
        <f t="shared" si="0"/>
        <v>3.3333333333333335E-3</v>
      </c>
      <c r="R12" s="1">
        <f t="shared" si="1"/>
        <v>6.6666666666666666E-2</v>
      </c>
      <c r="S12" s="1">
        <f t="shared" si="1"/>
        <v>6.6666666666666666E-2</v>
      </c>
      <c r="T12" s="2">
        <f>SQRT(Q12^2 + P12^2)</f>
        <v>4.7140452079103175E-3</v>
      </c>
      <c r="U12" s="6">
        <f>SQRT((S6*S12)^2+(R6*R12)^2)</f>
        <v>0.32693866227304613</v>
      </c>
    </row>
    <row r="13" spans="1:27" x14ac:dyDescent="0.45">
      <c r="A13" s="12"/>
      <c r="B13" s="12"/>
      <c r="C13" s="12"/>
      <c r="D13">
        <v>2</v>
      </c>
      <c r="E13">
        <v>0.7</v>
      </c>
      <c r="F13" s="8">
        <v>2.6</v>
      </c>
      <c r="J13" s="13" t="s">
        <v>6</v>
      </c>
      <c r="K13" s="13"/>
      <c r="L13" s="13"/>
      <c r="P13" s="13" t="s">
        <v>11</v>
      </c>
      <c r="Q13" s="13"/>
      <c r="R13" s="13"/>
      <c r="S13" s="13"/>
      <c r="T13" s="13"/>
      <c r="U13" s="13"/>
      <c r="AA13" t="s">
        <v>42</v>
      </c>
    </row>
    <row r="14" spans="1:27" x14ac:dyDescent="0.45">
      <c r="A14" s="12"/>
      <c r="B14" s="12"/>
      <c r="C14" s="12"/>
      <c r="D14">
        <v>3</v>
      </c>
      <c r="E14">
        <v>0.7</v>
      </c>
      <c r="F14" s="8">
        <v>2.5</v>
      </c>
      <c r="J14" s="1">
        <f t="shared" ref="J14:K18" si="2">J8*2.77644510519779</f>
        <v>5.5528902103955849E-2</v>
      </c>
      <c r="K14" s="1">
        <f t="shared" si="2"/>
        <v>5.5528902103955599E-2</v>
      </c>
      <c r="L14">
        <f>L2*SQRT((Q8)^2*2/(Q2-P2)^2 + 4*((J2*J14)^2+(K2*K14)^2)/(K2^2-J2^2)^2)</f>
        <v>3.260777750896227E-3</v>
      </c>
      <c r="P14" s="4">
        <f t="shared" ref="P14:U18" si="3">P8/P2</f>
        <v>2.2222222222222223E-2</v>
      </c>
      <c r="Q14" s="4">
        <f t="shared" si="3"/>
        <v>8.3333333333333332E-3</v>
      </c>
      <c r="R14" s="4">
        <f t="shared" si="3"/>
        <v>5.128205128205128E-2</v>
      </c>
      <c r="S14" s="4">
        <f t="shared" si="3"/>
        <v>2.564102564102564E-2</v>
      </c>
      <c r="T14" s="4">
        <f t="shared" si="3"/>
        <v>1.885618083164127E-2</v>
      </c>
      <c r="U14" s="3">
        <f t="shared" si="3"/>
        <v>7.644676846153127E-2</v>
      </c>
      <c r="Z14">
        <v>2.5350000000000001</v>
      </c>
      <c r="AA14" s="11">
        <v>0.24194531896338123</v>
      </c>
    </row>
    <row r="15" spans="1:27" x14ac:dyDescent="0.45">
      <c r="A15" s="12"/>
      <c r="B15" s="12"/>
      <c r="C15" s="12"/>
      <c r="D15">
        <v>4</v>
      </c>
      <c r="E15">
        <v>0.7</v>
      </c>
      <c r="F15" s="8">
        <v>2.6</v>
      </c>
      <c r="J15" s="1">
        <f t="shared" si="2"/>
        <v>5.5528902103955786E-2</v>
      </c>
      <c r="K15" s="1">
        <f t="shared" si="2"/>
        <v>5.5528902103955849E-2</v>
      </c>
      <c r="L15">
        <f t="shared" ref="L15:L18" si="4">L3*SQRT((Q9)^2*2/(Q3-P3)^2 + 4*((J3*J15)^2+(K3*K15)^2)/(K3^2-J3^2)^2)</f>
        <v>8.5917630752472395E-3</v>
      </c>
      <c r="P15" s="4">
        <f t="shared" si="3"/>
        <v>2.2222222222222223E-2</v>
      </c>
      <c r="Q15" s="4">
        <f t="shared" si="3"/>
        <v>6.6666666666666671E-3</v>
      </c>
      <c r="R15" s="4">
        <f t="shared" si="3"/>
        <v>5.128205128205128E-2</v>
      </c>
      <c r="S15" s="4">
        <f t="shared" si="3"/>
        <v>2.2222222222222223E-2</v>
      </c>
      <c r="T15" s="4">
        <f t="shared" si="3"/>
        <v>1.3468700594029479E-2</v>
      </c>
      <c r="U15" s="3">
        <f t="shared" si="3"/>
        <v>5.9636234288269287E-2</v>
      </c>
      <c r="Z15">
        <v>3.6549999999999998</v>
      </c>
      <c r="AA15" s="11">
        <v>0.34884029223319857</v>
      </c>
    </row>
    <row r="16" spans="1:27" x14ac:dyDescent="0.45">
      <c r="A16" s="12"/>
      <c r="B16" s="12"/>
      <c r="C16" s="12"/>
      <c r="D16">
        <v>5</v>
      </c>
      <c r="E16">
        <v>0.7</v>
      </c>
      <c r="F16" s="8">
        <v>2.5</v>
      </c>
      <c r="J16" s="1">
        <f t="shared" si="2"/>
        <v>0</v>
      </c>
      <c r="K16" s="1">
        <f t="shared" si="2"/>
        <v>6.8008738065825539E-2</v>
      </c>
      <c r="L16">
        <f t="shared" si="4"/>
        <v>1.8193298849096047E-2</v>
      </c>
      <c r="P16" s="4">
        <f t="shared" si="3"/>
        <v>2.2222222222222223E-2</v>
      </c>
      <c r="Q16" s="4">
        <f t="shared" si="3"/>
        <v>4.7619047619047623E-3</v>
      </c>
      <c r="R16" s="4">
        <f t="shared" si="3"/>
        <v>5.128205128205128E-2</v>
      </c>
      <c r="S16" s="4">
        <f t="shared" si="3"/>
        <v>1.8518518518518517E-2</v>
      </c>
      <c r="T16" s="4">
        <f t="shared" si="3"/>
        <v>8.5709912871096694E-3</v>
      </c>
      <c r="U16" s="3">
        <f t="shared" si="3"/>
        <v>4.5282837525003575E-2</v>
      </c>
      <c r="Z16">
        <v>5.6350000000000007</v>
      </c>
      <c r="AA16" s="11">
        <v>0.5378153342637686</v>
      </c>
    </row>
    <row r="17" spans="1:27" x14ac:dyDescent="0.45">
      <c r="A17" s="12">
        <v>4</v>
      </c>
      <c r="B17" s="12">
        <v>163</v>
      </c>
      <c r="C17" s="12">
        <v>198</v>
      </c>
      <c r="D17">
        <v>1</v>
      </c>
      <c r="E17">
        <v>0.6</v>
      </c>
      <c r="F17" s="8">
        <v>2.2000000000000002</v>
      </c>
      <c r="J17" s="1">
        <f t="shared" si="2"/>
        <v>5.5528902103955786E-2</v>
      </c>
      <c r="K17" s="1">
        <f t="shared" si="2"/>
        <v>5.5528902103955599E-2</v>
      </c>
      <c r="L17">
        <f t="shared" si="4"/>
        <v>2.3701414226127229E-2</v>
      </c>
      <c r="P17" s="4">
        <f t="shared" si="3"/>
        <v>2.2222222222222223E-2</v>
      </c>
      <c r="Q17" s="4">
        <f t="shared" si="3"/>
        <v>3.7037037037037038E-3</v>
      </c>
      <c r="R17" s="4">
        <f t="shared" si="3"/>
        <v>4.7619047619047623E-2</v>
      </c>
      <c r="S17" s="4">
        <f t="shared" si="3"/>
        <v>1.5873015873015872E-2</v>
      </c>
      <c r="T17" s="4">
        <f t="shared" si="3"/>
        <v>6.2853936105470897E-3</v>
      </c>
      <c r="U17" s="3">
        <f t="shared" si="3"/>
        <v>3.764616262105213E-2</v>
      </c>
      <c r="Z17">
        <v>7.8400000000000007</v>
      </c>
      <c r="AA17" s="11">
        <v>0.74826481288872149</v>
      </c>
    </row>
    <row r="18" spans="1:27" x14ac:dyDescent="0.45">
      <c r="A18" s="12"/>
      <c r="B18" s="12"/>
      <c r="C18" s="12"/>
      <c r="D18">
        <v>2</v>
      </c>
      <c r="E18">
        <v>0.6</v>
      </c>
      <c r="F18" s="8">
        <v>2.2000000000000002</v>
      </c>
      <c r="J18" s="1">
        <f t="shared" si="2"/>
        <v>6.8008738065825455E-2</v>
      </c>
      <c r="K18" s="1">
        <f t="shared" si="2"/>
        <v>0</v>
      </c>
      <c r="L18">
        <f t="shared" si="4"/>
        <v>1.0952350396021746E-2</v>
      </c>
      <c r="P18" s="4">
        <f t="shared" si="3"/>
        <v>2.2222222222222223E-2</v>
      </c>
      <c r="Q18" s="4">
        <f t="shared" si="3"/>
        <v>3.0303030303030303E-3</v>
      </c>
      <c r="R18" s="4">
        <f t="shared" si="3"/>
        <v>4.7619047619047623E-2</v>
      </c>
      <c r="S18" s="4">
        <f t="shared" si="3"/>
        <v>1.4184397163120567E-2</v>
      </c>
      <c r="T18" s="4">
        <f t="shared" si="3"/>
        <v>4.9621528504319124E-3</v>
      </c>
      <c r="U18" s="3">
        <f t="shared" si="3"/>
        <v>3.2482728492105921E-2</v>
      </c>
      <c r="Z18">
        <v>10.065000000000001</v>
      </c>
      <c r="AA18" s="11">
        <v>0.96062313032206403</v>
      </c>
    </row>
    <row r="19" spans="1:27" x14ac:dyDescent="0.45">
      <c r="A19" s="12"/>
      <c r="B19" s="12"/>
      <c r="C19" s="12"/>
      <c r="D19">
        <v>3</v>
      </c>
      <c r="E19">
        <v>0.6</v>
      </c>
      <c r="F19" s="8">
        <v>2.2000000000000002</v>
      </c>
      <c r="J19" s="13" t="s">
        <v>0</v>
      </c>
      <c r="K19" s="13"/>
      <c r="L19" s="13"/>
    </row>
    <row r="20" spans="1:27" x14ac:dyDescent="0.45">
      <c r="A20" s="12"/>
      <c r="B20" s="12"/>
      <c r="C20" s="12"/>
      <c r="D20">
        <v>4</v>
      </c>
      <c r="E20">
        <v>0.7</v>
      </c>
      <c r="F20" s="8">
        <v>2.2999999999999998</v>
      </c>
      <c r="J20" s="1">
        <f t="shared" ref="J20:L24" si="5">J14/J2</f>
        <v>4.3381954768715515E-2</v>
      </c>
      <c r="K20" s="1">
        <f t="shared" si="5"/>
        <v>1.2124214433178078E-2</v>
      </c>
      <c r="L20" s="1">
        <f t="shared" si="5"/>
        <v>3.3187852708858545E-2</v>
      </c>
    </row>
    <row r="21" spans="1:27" x14ac:dyDescent="0.45">
      <c r="A21" s="12"/>
      <c r="B21" s="12"/>
      <c r="C21" s="12"/>
      <c r="D21">
        <v>5</v>
      </c>
      <c r="E21">
        <v>0.6</v>
      </c>
      <c r="F21" s="8">
        <v>2.2000000000000002</v>
      </c>
      <c r="J21" s="1">
        <f t="shared" si="5"/>
        <v>6.035750228690847E-2</v>
      </c>
      <c r="K21" s="1">
        <f t="shared" si="5"/>
        <v>1.7461918900615044E-2</v>
      </c>
      <c r="L21" s="1">
        <f t="shared" si="5"/>
        <v>4.1900671923811035E-2</v>
      </c>
    </row>
    <row r="22" spans="1:27" x14ac:dyDescent="0.45">
      <c r="A22" s="12">
        <v>5</v>
      </c>
      <c r="B22" s="12">
        <v>153</v>
      </c>
      <c r="C22" s="12">
        <v>197</v>
      </c>
      <c r="D22">
        <v>1</v>
      </c>
      <c r="E22">
        <v>0.6</v>
      </c>
      <c r="F22" s="8">
        <v>2</v>
      </c>
      <c r="J22" s="1">
        <f t="shared" si="5"/>
        <v>0</v>
      </c>
      <c r="K22" s="1">
        <f t="shared" si="5"/>
        <v>2.6565913306963101E-2</v>
      </c>
      <c r="L22" s="1">
        <f t="shared" si="5"/>
        <v>5.8061519421778313E-2</v>
      </c>
    </row>
    <row r="23" spans="1:27" x14ac:dyDescent="0.45">
      <c r="A23" s="12"/>
      <c r="B23" s="12"/>
      <c r="C23" s="12"/>
      <c r="D23">
        <v>2</v>
      </c>
      <c r="E23">
        <v>0.6</v>
      </c>
      <c r="F23" s="8">
        <v>2</v>
      </c>
      <c r="J23" s="1">
        <f t="shared" si="5"/>
        <v>8.9562745328960941E-2</v>
      </c>
      <c r="K23" s="1">
        <f t="shared" si="5"/>
        <v>2.5013018965745763E-2</v>
      </c>
      <c r="L23" s="1">
        <f t="shared" si="5"/>
        <v>5.6683803286064281E-2</v>
      </c>
      <c r="P23" s="1" t="s">
        <v>5</v>
      </c>
      <c r="Q23" s="1" t="s">
        <v>4</v>
      </c>
      <c r="R23" s="1"/>
      <c r="S23" s="1"/>
    </row>
    <row r="24" spans="1:27" x14ac:dyDescent="0.45">
      <c r="A24" s="12"/>
      <c r="B24" s="12"/>
      <c r="C24" s="12"/>
      <c r="D24">
        <v>3</v>
      </c>
      <c r="E24">
        <v>0.5</v>
      </c>
      <c r="F24" s="8">
        <v>2</v>
      </c>
      <c r="J24" s="1">
        <f t="shared" si="5"/>
        <v>0.12144417511754547</v>
      </c>
      <c r="K24" s="1">
        <f t="shared" si="5"/>
        <v>0</v>
      </c>
      <c r="L24" s="1">
        <f t="shared" si="5"/>
        <v>2.1249865526260295E-2</v>
      </c>
      <c r="P24" s="1">
        <f>(SUM(L2:L6)-SUM(I2:I6)*Q24)/5</f>
        <v>-2.8945444155849698E-2</v>
      </c>
      <c r="Q24" s="2">
        <f>(SUMPRODUCT(L2:L6,I2:I6)-SUM(L2:L6)*SUM(I2:I6)/5)/(SUMSQ(I2:I6)-SUM(I2:I6)^2/5)</f>
        <v>9.7928542762965218</v>
      </c>
      <c r="R24" s="1"/>
      <c r="S24" s="1"/>
    </row>
    <row r="25" spans="1:27" x14ac:dyDescent="0.45">
      <c r="A25" s="12"/>
      <c r="B25" s="12"/>
      <c r="C25" s="12"/>
      <c r="D25">
        <v>4</v>
      </c>
      <c r="E25">
        <v>0.6</v>
      </c>
      <c r="F25" s="8">
        <v>2</v>
      </c>
      <c r="P25" s="1"/>
      <c r="Q25" s="1" t="s">
        <v>3</v>
      </c>
      <c r="R25" s="1" t="s">
        <v>2</v>
      </c>
      <c r="S25" s="1" t="s">
        <v>1</v>
      </c>
      <c r="V25" t="s">
        <v>42</v>
      </c>
    </row>
    <row r="26" spans="1:27" x14ac:dyDescent="0.45">
      <c r="A26" s="12"/>
      <c r="B26" s="12"/>
      <c r="C26" s="12"/>
      <c r="D26">
        <v>5</v>
      </c>
      <c r="E26">
        <v>0.5</v>
      </c>
      <c r="F26" s="8">
        <v>2</v>
      </c>
      <c r="P26" s="1"/>
      <c r="Q26" s="1">
        <v>9.8000000000000007</v>
      </c>
      <c r="R26" s="1">
        <v>9.8194999999999997</v>
      </c>
      <c r="S26" s="1">
        <f>-Q26+R26</f>
        <v>1.9499999999998963E-2</v>
      </c>
      <c r="U26">
        <v>1.282051282051282E-2</v>
      </c>
      <c r="V26">
        <v>9.8252146033716001E-2</v>
      </c>
    </row>
    <row r="27" spans="1:27" x14ac:dyDescent="0.45">
      <c r="U27">
        <v>2.564102564102564E-2</v>
      </c>
      <c r="V27">
        <v>0.20505072307360231</v>
      </c>
    </row>
    <row r="28" spans="1:27" x14ac:dyDescent="0.45">
      <c r="A28" s="1" t="s">
        <v>40</v>
      </c>
      <c r="B28" s="1" t="s">
        <v>39</v>
      </c>
      <c r="C28" s="1" t="s">
        <v>38</v>
      </c>
      <c r="D28" s="1" t="s">
        <v>37</v>
      </c>
      <c r="Q28" s="11">
        <f>S26/Q26*100</f>
        <v>0.19897959183672412</v>
      </c>
      <c r="U28">
        <v>3.3333333333333333E-2</v>
      </c>
      <c r="V28">
        <v>0.31334520746751104</v>
      </c>
    </row>
    <row r="29" spans="1:27" x14ac:dyDescent="0.45">
      <c r="A29" s="1">
        <v>0.22</v>
      </c>
      <c r="B29" s="1">
        <v>1</v>
      </c>
      <c r="C29" s="1">
        <v>200</v>
      </c>
      <c r="D29" s="1">
        <v>200</v>
      </c>
      <c r="U29">
        <v>4.4871794871794872E-2</v>
      </c>
      <c r="V29">
        <v>0.41813380281690138</v>
      </c>
    </row>
    <row r="30" spans="1:27" x14ac:dyDescent="0.45">
      <c r="A30" s="13" t="s">
        <v>29</v>
      </c>
      <c r="B30" s="13"/>
      <c r="C30" s="13"/>
      <c r="D30" s="13"/>
      <c r="U30">
        <v>5.6410256410256411E-2</v>
      </c>
      <c r="V30">
        <v>0.51540798611111116</v>
      </c>
    </row>
    <row r="31" spans="1:27" x14ac:dyDescent="0.45">
      <c r="A31" s="1">
        <v>5.0000000000000001E-3</v>
      </c>
      <c r="B31" s="1">
        <v>5.0000000000000001E-3</v>
      </c>
      <c r="C31" s="1">
        <v>0.5</v>
      </c>
      <c r="D31" s="1">
        <v>0.5</v>
      </c>
    </row>
  </sheetData>
  <mergeCells count="21">
    <mergeCell ref="A30:D30"/>
    <mergeCell ref="J7:K7"/>
    <mergeCell ref="J13:L13"/>
    <mergeCell ref="J19:L19"/>
    <mergeCell ref="A2:A6"/>
    <mergeCell ref="A7:A11"/>
    <mergeCell ref="A12:A16"/>
    <mergeCell ref="A17:A21"/>
    <mergeCell ref="A22:A26"/>
    <mergeCell ref="C22:C26"/>
    <mergeCell ref="C2:C6"/>
    <mergeCell ref="C7:C11"/>
    <mergeCell ref="B7:B11"/>
    <mergeCell ref="B12:B16"/>
    <mergeCell ref="C12:C16"/>
    <mergeCell ref="C17:C21"/>
    <mergeCell ref="B17:B21"/>
    <mergeCell ref="B2:B6"/>
    <mergeCell ref="B22:B26"/>
    <mergeCell ref="P7:U7"/>
    <mergeCell ref="P13:U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67BC-9009-4087-B239-744A4F9B1E46}">
  <dimension ref="A1:AA33"/>
  <sheetViews>
    <sheetView topLeftCell="Q7" zoomScale="115" zoomScaleNormal="115" workbookViewId="0">
      <selection activeCell="X11" sqref="X11"/>
    </sheetView>
  </sheetViews>
  <sheetFormatPr defaultColWidth="9" defaultRowHeight="14.25" x14ac:dyDescent="0.45"/>
  <cols>
    <col min="1" max="5" width="9.1328125" style="1" bestFit="1" customWidth="1"/>
    <col min="6" max="6" width="9.1328125" style="1" customWidth="1"/>
    <col min="7" max="7" width="9" style="1"/>
    <col min="8" max="8" width="9.1328125" style="1" bestFit="1" customWidth="1"/>
    <col min="9" max="9" width="22.59765625" style="1" customWidth="1"/>
    <col min="10" max="10" width="17.86328125" style="1" customWidth="1"/>
    <col min="11" max="11" width="13.265625" style="1" customWidth="1"/>
    <col min="12" max="12" width="14.1328125" style="1" customWidth="1"/>
    <col min="13" max="13" width="16.73046875" style="1" customWidth="1"/>
    <col min="14" max="14" width="12.73046875" style="1" customWidth="1"/>
    <col min="15" max="15" width="9" style="1"/>
    <col min="16" max="16" width="16.3984375" style="1" customWidth="1"/>
    <col min="17" max="17" width="19.86328125" style="1" customWidth="1"/>
    <col min="18" max="18" width="13.1328125" style="1" customWidth="1"/>
    <col min="19" max="19" width="9.1328125" style="1" bestFit="1" customWidth="1"/>
    <col min="20" max="20" width="13.3984375" style="1" customWidth="1"/>
    <col min="21" max="21" width="17.1328125" style="1" customWidth="1"/>
    <col min="22" max="22" width="22.3984375" style="1" customWidth="1"/>
    <col min="23" max="23" width="9" style="1"/>
    <col min="24" max="24" width="12.73046875" style="1" bestFit="1" customWidth="1"/>
    <col min="25" max="25" width="13.59765625" style="1" customWidth="1"/>
    <col min="26" max="26" width="15.1328125" style="1" customWidth="1"/>
    <col min="27" max="27" width="17" style="1" customWidth="1"/>
    <col min="28" max="16384" width="9" style="1"/>
  </cols>
  <sheetData>
    <row r="1" spans="1:27" x14ac:dyDescent="0.45">
      <c r="A1" s="1" t="s">
        <v>40</v>
      </c>
      <c r="B1" s="1" t="s">
        <v>39</v>
      </c>
      <c r="C1" s="1" t="s">
        <v>38</v>
      </c>
      <c r="D1" s="1" t="s">
        <v>37</v>
      </c>
      <c r="P1" s="1" t="s">
        <v>36</v>
      </c>
      <c r="Q1" s="1" t="s">
        <v>35</v>
      </c>
      <c r="R1" s="1" t="s">
        <v>19</v>
      </c>
      <c r="S1" s="1" t="s">
        <v>18</v>
      </c>
      <c r="T1" s="1" t="s">
        <v>34</v>
      </c>
      <c r="U1" s="1" t="s">
        <v>33</v>
      </c>
      <c r="V1" s="1" t="s">
        <v>32</v>
      </c>
      <c r="X1" s="1" t="s">
        <v>31</v>
      </c>
      <c r="Y1" s="1" t="s">
        <v>30</v>
      </c>
    </row>
    <row r="2" spans="1:27" x14ac:dyDescent="0.45">
      <c r="A2" s="1">
        <v>0.22</v>
      </c>
      <c r="B2" s="1">
        <v>1</v>
      </c>
      <c r="C2" s="1">
        <v>196</v>
      </c>
      <c r="D2" s="1">
        <v>195</v>
      </c>
      <c r="P2" s="1">
        <v>0.15</v>
      </c>
      <c r="Q2" s="1">
        <v>0.4</v>
      </c>
      <c r="R2" s="1">
        <v>1.3</v>
      </c>
      <c r="S2" s="1">
        <v>2.5</v>
      </c>
      <c r="T2" s="1">
        <f>Q2-P2</f>
        <v>0.25</v>
      </c>
      <c r="U2" s="3">
        <f>(S2^2-R2^2)/2</f>
        <v>2.2799999999999998</v>
      </c>
      <c r="V2" s="7">
        <f>$Y$2*0</f>
        <v>0</v>
      </c>
      <c r="X2" s="1">
        <f>T2-$Y$2*U2</f>
        <v>1.3662441123779845E-2</v>
      </c>
      <c r="Y2" s="15">
        <f>SUMPRODUCT(U2:U6,T2:T6)/SUMSQ(U2:U6)</f>
        <v>0.10365682406851762</v>
      </c>
      <c r="Z2" s="1">
        <f>SQRT(SUMSQ(X2:X6)/(4*SUMSQ(U2:U6)))</f>
        <v>7.4999777941974855E-4</v>
      </c>
    </row>
    <row r="3" spans="1:27" x14ac:dyDescent="0.45">
      <c r="A3" s="13" t="s">
        <v>29</v>
      </c>
      <c r="B3" s="13"/>
      <c r="C3" s="13"/>
      <c r="D3" s="13"/>
      <c r="P3" s="1">
        <v>0.15</v>
      </c>
      <c r="Q3" s="1">
        <v>0.5</v>
      </c>
      <c r="R3" s="1">
        <v>1.3</v>
      </c>
      <c r="S3" s="1">
        <v>2.9</v>
      </c>
      <c r="T3" s="1">
        <f>Q3-P3</f>
        <v>0.35</v>
      </c>
      <c r="U3" s="3">
        <f>(S3^2-R3^2)/2</f>
        <v>3.36</v>
      </c>
      <c r="V3" s="7">
        <f>$Y$2*U2</f>
        <v>0.23633755887622016</v>
      </c>
      <c r="X3" s="1">
        <f>T3-$Y$2*U3</f>
        <v>1.7130711297808077E-3</v>
      </c>
      <c r="Y3" s="1" t="s">
        <v>28</v>
      </c>
      <c r="Z3" s="1" t="s">
        <v>27</v>
      </c>
    </row>
    <row r="4" spans="1:27" x14ac:dyDescent="0.45">
      <c r="A4" s="1">
        <v>5.0000000000000001E-3</v>
      </c>
      <c r="B4" s="1">
        <v>5.0000000000000001E-3</v>
      </c>
      <c r="C4" s="1">
        <v>0.5</v>
      </c>
      <c r="D4" s="1">
        <v>0.5</v>
      </c>
      <c r="P4" s="1">
        <v>0.15</v>
      </c>
      <c r="Q4" s="1">
        <v>0.7</v>
      </c>
      <c r="R4" s="1">
        <v>1.3</v>
      </c>
      <c r="S4" s="1">
        <v>3.5</v>
      </c>
      <c r="T4" s="1">
        <f>Q4-P4</f>
        <v>0.54999999999999993</v>
      </c>
      <c r="U4" s="3">
        <f>(S4^2-R4^2)/2</f>
        <v>5.28</v>
      </c>
      <c r="V4" s="7">
        <f>$Y$2*U3</f>
        <v>0.34828692887021917</v>
      </c>
      <c r="X4" s="1">
        <f>T4-$Y$2*U4</f>
        <v>2.6919689182268725E-3</v>
      </c>
      <c r="Y4" s="1">
        <f>2*Z2</f>
        <v>1.4999955588394971E-3</v>
      </c>
      <c r="Z4" s="1">
        <f>Y4/Y2</f>
        <v>1.447078445938102E-2</v>
      </c>
    </row>
    <row r="5" spans="1:27" x14ac:dyDescent="0.45">
      <c r="P5" s="1">
        <v>0.15</v>
      </c>
      <c r="Q5" s="1">
        <v>0.9</v>
      </c>
      <c r="R5" s="1">
        <v>1.3</v>
      </c>
      <c r="S5" s="1">
        <v>4</v>
      </c>
      <c r="T5" s="1">
        <f>Q5-P5</f>
        <v>0.75</v>
      </c>
      <c r="U5" s="4">
        <f>(S5^2-R5^2)/2</f>
        <v>7.1550000000000002</v>
      </c>
      <c r="V5" s="7">
        <f>$Y$2*U4</f>
        <v>0.54730803108177306</v>
      </c>
      <c r="X5" s="1">
        <f>T5-$Y$2*U5</f>
        <v>8.3354237897563799E-3</v>
      </c>
    </row>
    <row r="6" spans="1:27" x14ac:dyDescent="0.45">
      <c r="P6" s="1">
        <v>0.15</v>
      </c>
      <c r="Q6" s="1">
        <v>1.1000000000000001</v>
      </c>
      <c r="R6" s="1">
        <v>1.3</v>
      </c>
      <c r="S6" s="1">
        <v>4.5</v>
      </c>
      <c r="T6" s="1">
        <f>Q6-P6</f>
        <v>0.95000000000000007</v>
      </c>
      <c r="U6" s="3">
        <f>(S6^2-R6^2)/2</f>
        <v>9.2799999999999994</v>
      </c>
      <c r="V6" s="7">
        <f>$Y$2*U5</f>
        <v>0.74166457621024362</v>
      </c>
      <c r="X6" s="1">
        <f>T6-$Y$2*U6</f>
        <v>-1.193532735584335E-2</v>
      </c>
      <c r="Y6" s="1" t="s">
        <v>26</v>
      </c>
      <c r="Z6" s="1" t="s">
        <v>25</v>
      </c>
      <c r="AA6" s="1" t="s">
        <v>24</v>
      </c>
    </row>
    <row r="7" spans="1:27" x14ac:dyDescent="0.45">
      <c r="P7" s="13" t="s">
        <v>23</v>
      </c>
      <c r="Q7" s="13"/>
      <c r="R7" s="13"/>
      <c r="S7" s="13"/>
      <c r="T7" s="13"/>
      <c r="U7" s="13"/>
      <c r="V7" s="7">
        <f>$Y$2*U6</f>
        <v>0.96193532735584342</v>
      </c>
      <c r="Y7" s="1">
        <v>0.1037</v>
      </c>
      <c r="Z7" s="1">
        <v>1.5E-3</v>
      </c>
      <c r="AA7" s="1">
        <v>1.4E-2</v>
      </c>
    </row>
    <row r="8" spans="1:27" x14ac:dyDescent="0.45">
      <c r="A8" s="1" t="s">
        <v>17</v>
      </c>
      <c r="B8" s="1" t="s">
        <v>22</v>
      </c>
      <c r="C8" s="1" t="s">
        <v>21</v>
      </c>
      <c r="D8" s="1" t="s">
        <v>20</v>
      </c>
      <c r="E8" s="1" t="s">
        <v>19</v>
      </c>
      <c r="F8" s="1" t="s">
        <v>18</v>
      </c>
      <c r="H8" s="1" t="s">
        <v>17</v>
      </c>
      <c r="J8" s="1" t="s">
        <v>16</v>
      </c>
      <c r="K8" s="1" t="s">
        <v>15</v>
      </c>
      <c r="L8" s="1" t="s">
        <v>14</v>
      </c>
      <c r="M8" s="1" t="s">
        <v>13</v>
      </c>
      <c r="N8" s="1" t="s">
        <v>12</v>
      </c>
      <c r="P8" s="1">
        <f t="shared" ref="P8:Q12" si="0">0.005*2/3</f>
        <v>3.3333333333333335E-3</v>
      </c>
      <c r="Q8" s="1">
        <f t="shared" si="0"/>
        <v>3.3333333333333335E-3</v>
      </c>
      <c r="R8" s="1">
        <f t="shared" ref="R8:S12" si="1">0.1*2/3</f>
        <v>6.6666666666666666E-2</v>
      </c>
      <c r="S8" s="1">
        <f t="shared" si="1"/>
        <v>6.6666666666666666E-2</v>
      </c>
      <c r="T8" s="1">
        <f>SQRT(Q8^2 + P8^2)</f>
        <v>4.7140452079103175E-3</v>
      </c>
      <c r="U8" s="6">
        <f>SQRT((S2*S8)^2+(R2*R8)^2)</f>
        <v>0.18785337071473829</v>
      </c>
    </row>
    <row r="9" spans="1:27" x14ac:dyDescent="0.45">
      <c r="A9" s="12">
        <v>1</v>
      </c>
      <c r="B9" s="12">
        <v>187</v>
      </c>
      <c r="C9" s="12">
        <v>194</v>
      </c>
      <c r="D9" s="1">
        <v>1</v>
      </c>
      <c r="E9" s="1">
        <v>1.2</v>
      </c>
      <c r="F9" s="1">
        <v>4.4000000000000004</v>
      </c>
      <c r="H9" s="1">
        <v>1</v>
      </c>
      <c r="I9" s="5">
        <f>(($C$2-B9)-($D$2-C9))/($B$2-$A$2)/1000</f>
        <v>1.0256410256410255E-2</v>
      </c>
      <c r="J9" s="1">
        <f>AVERAGE(E9:E13)</f>
        <v>1.2799999999999998</v>
      </c>
      <c r="K9" s="4">
        <f>AVERAGE(F9:F13)</f>
        <v>4.5</v>
      </c>
      <c r="L9" s="1">
        <f>2*(1.1-0.15)/(K9^2-J9^2)</f>
        <v>0.10208687055384814</v>
      </c>
      <c r="M9" s="1">
        <f>L9-($P$24+$Q$24*I9)</f>
        <v>3.8606387915337964E-3</v>
      </c>
      <c r="N9" s="1">
        <f>$P$24+$Q$24*I9</f>
        <v>9.8226231762314348E-2</v>
      </c>
      <c r="P9" s="1">
        <f t="shared" si="0"/>
        <v>3.3333333333333335E-3</v>
      </c>
      <c r="Q9" s="1">
        <f t="shared" si="0"/>
        <v>3.3333333333333335E-3</v>
      </c>
      <c r="R9" s="1">
        <f t="shared" si="1"/>
        <v>6.6666666666666666E-2</v>
      </c>
      <c r="S9" s="1">
        <f t="shared" si="1"/>
        <v>6.6666666666666666E-2</v>
      </c>
      <c r="T9" s="1">
        <f>SQRT(Q9^2 + P9^2)</f>
        <v>4.7140452079103175E-3</v>
      </c>
      <c r="U9" s="6">
        <f>SQRT((S3*S9)^2+(R3*R9)^2)</f>
        <v>0.21186998109427604</v>
      </c>
    </row>
    <row r="10" spans="1:27" x14ac:dyDescent="0.45">
      <c r="A10" s="12"/>
      <c r="B10" s="12"/>
      <c r="C10" s="12"/>
      <c r="D10" s="1">
        <v>2</v>
      </c>
      <c r="E10" s="1">
        <v>1.3</v>
      </c>
      <c r="F10" s="1">
        <v>4.5</v>
      </c>
      <c r="H10" s="1">
        <v>2</v>
      </c>
      <c r="I10" s="5">
        <f>(($C$2-B14)-($D$2-C14))/($B$2-$A$2)/1000</f>
        <v>2.1794871794871797E-2</v>
      </c>
      <c r="J10" s="1">
        <f>AVERAGE(E14:E18)</f>
        <v>0.91999999999999993</v>
      </c>
      <c r="K10" s="1">
        <f>AVERAGE(F14:F18)</f>
        <v>3.12</v>
      </c>
      <c r="L10" s="1">
        <f>2*(1.1-0.15)/(K10^2-J10^2)</f>
        <v>0.21377137713771374</v>
      </c>
      <c r="M10" s="1">
        <f>L10-($P$24+$Q$24*I10)</f>
        <v>-1.6422623301830808E-3</v>
      </c>
      <c r="N10" s="1">
        <f>$P$24+$Q$24*I10</f>
        <v>0.21541363946789682</v>
      </c>
      <c r="P10" s="1">
        <f t="shared" si="0"/>
        <v>3.3333333333333335E-3</v>
      </c>
      <c r="Q10" s="1">
        <f t="shared" si="0"/>
        <v>3.3333333333333335E-3</v>
      </c>
      <c r="R10" s="1">
        <f t="shared" si="1"/>
        <v>6.6666666666666666E-2</v>
      </c>
      <c r="S10" s="1">
        <f t="shared" si="1"/>
        <v>6.6666666666666666E-2</v>
      </c>
      <c r="T10" s="1">
        <f>SQRT(Q10^2 + P10^2)</f>
        <v>4.7140452079103175E-3</v>
      </c>
      <c r="U10" s="6">
        <f>SQRT((S4*S10)^2+(R4*R10)^2)</f>
        <v>0.24890872936792627</v>
      </c>
    </row>
    <row r="11" spans="1:27" x14ac:dyDescent="0.45">
      <c r="A11" s="12"/>
      <c r="B11" s="12"/>
      <c r="C11" s="12"/>
      <c r="D11" s="1">
        <v>3</v>
      </c>
      <c r="E11" s="1">
        <v>1.3</v>
      </c>
      <c r="F11" s="1">
        <v>4.5</v>
      </c>
      <c r="H11" s="1">
        <v>3</v>
      </c>
      <c r="I11" s="5">
        <f>(($C$2-B19)-($D$2-C19))/($B$2-$A$2)/1000</f>
        <v>3.2051282051282048E-2</v>
      </c>
      <c r="J11" s="1">
        <f>AVERAGE(E19:E23)</f>
        <v>0.72000000000000008</v>
      </c>
      <c r="K11" s="1">
        <f>AVERAGE(F19:F23)</f>
        <v>2.54</v>
      </c>
      <c r="L11" s="1">
        <f>2*(1.1-0.15)/(K11^2-J11^2)</f>
        <v>0.32023191532393985</v>
      </c>
      <c r="M11" s="1">
        <f>L11-($P$24+$Q$24*I11)</f>
        <v>6.5169122885871955E-4</v>
      </c>
      <c r="N11" s="1">
        <f>$P$24+$Q$24*I11</f>
        <v>0.31958022409508113</v>
      </c>
      <c r="P11" s="1">
        <f t="shared" si="0"/>
        <v>3.3333333333333335E-3</v>
      </c>
      <c r="Q11" s="1">
        <f t="shared" si="0"/>
        <v>3.3333333333333335E-3</v>
      </c>
      <c r="R11" s="1">
        <f t="shared" si="1"/>
        <v>6.6666666666666666E-2</v>
      </c>
      <c r="S11" s="1">
        <f t="shared" si="1"/>
        <v>6.6666666666666666E-2</v>
      </c>
      <c r="T11" s="1">
        <f>SQRT(Q11^2 + P11^2)</f>
        <v>4.7140452079103175E-3</v>
      </c>
      <c r="U11" s="6">
        <f>SQRT((S5*S11)^2+(R5*R11)^2)</f>
        <v>0.28039654459750785</v>
      </c>
    </row>
    <row r="12" spans="1:27" x14ac:dyDescent="0.45">
      <c r="A12" s="12"/>
      <c r="B12" s="12"/>
      <c r="C12" s="12"/>
      <c r="D12" s="1">
        <v>4</v>
      </c>
      <c r="E12" s="1">
        <v>1.3</v>
      </c>
      <c r="F12" s="1">
        <v>4.5999999999999996</v>
      </c>
      <c r="H12" s="1">
        <v>4</v>
      </c>
      <c r="I12" s="5">
        <f>(($C$2-B24)-($D$2-C24))/($B$2-$A$2)/1000</f>
        <v>4.3589743589743594E-2</v>
      </c>
      <c r="J12" s="1">
        <f>AVERAGE(E24:E28)</f>
        <v>0.6</v>
      </c>
      <c r="K12" s="1">
        <f>AVERAGE(F24:F28)</f>
        <v>2.2000000000000002</v>
      </c>
      <c r="L12" s="1">
        <f>2*(1.1-0.15)/(K12^2-J12^2)</f>
        <v>0.42410714285714285</v>
      </c>
      <c r="M12" s="1">
        <f>L12-($P$24+$Q$24*I12)</f>
        <v>-1.2660488943520787E-2</v>
      </c>
      <c r="N12" s="1">
        <f>$P$24+$Q$24*I12</f>
        <v>0.43676763180066364</v>
      </c>
      <c r="P12" s="1">
        <f t="shared" si="0"/>
        <v>3.3333333333333335E-3</v>
      </c>
      <c r="Q12" s="1">
        <f t="shared" si="0"/>
        <v>3.3333333333333335E-3</v>
      </c>
      <c r="R12" s="1">
        <f t="shared" si="1"/>
        <v>6.6666666666666666E-2</v>
      </c>
      <c r="S12" s="1">
        <f t="shared" si="1"/>
        <v>6.6666666666666666E-2</v>
      </c>
      <c r="T12" s="1">
        <f>SQRT(Q12^2 + P12^2)</f>
        <v>4.7140452079103175E-3</v>
      </c>
      <c r="U12" s="6">
        <f>SQRT((S6*S12)^2+(R6*R12)^2)</f>
        <v>0.31226769143014316</v>
      </c>
    </row>
    <row r="13" spans="1:27" x14ac:dyDescent="0.45">
      <c r="A13" s="12"/>
      <c r="B13" s="12"/>
      <c r="C13" s="12"/>
      <c r="D13" s="1">
        <v>5</v>
      </c>
      <c r="E13" s="1">
        <v>1.3</v>
      </c>
      <c r="F13" s="1">
        <v>4.5</v>
      </c>
      <c r="H13" s="1">
        <v>5</v>
      </c>
      <c r="I13" s="5">
        <f>(($C$2-B29)-($D$2-C29))/($B$2-$A$2)/1000</f>
        <v>5.3846153846153849E-2</v>
      </c>
      <c r="J13" s="1">
        <f>AVERAGE(E29:E33)</f>
        <v>0.56000000000000005</v>
      </c>
      <c r="K13" s="1">
        <f>AVERAGE(F29:F33)</f>
        <v>1.9400000000000002</v>
      </c>
      <c r="L13" s="1">
        <f>2*(1.1-0.15)/(K13^2-J13^2)</f>
        <v>0.55072463768115931</v>
      </c>
      <c r="M13" s="1">
        <f>L13-($P$24+$Q$24*I13)</f>
        <v>9.790421253311421E-3</v>
      </c>
      <c r="N13" s="1">
        <f>$P$24+$Q$24*I13</f>
        <v>0.54093421642784789</v>
      </c>
      <c r="P13" s="13" t="s">
        <v>11</v>
      </c>
      <c r="Q13" s="13"/>
      <c r="R13" s="13"/>
      <c r="S13" s="13"/>
      <c r="T13" s="13"/>
      <c r="U13" s="13"/>
      <c r="Y13" s="1">
        <f>Z2*2</f>
        <v>1.4999955588394971E-3</v>
      </c>
    </row>
    <row r="14" spans="1:27" x14ac:dyDescent="0.45">
      <c r="A14" s="12">
        <v>2</v>
      </c>
      <c r="B14" s="12">
        <v>178</v>
      </c>
      <c r="C14" s="12">
        <v>194</v>
      </c>
      <c r="D14" s="1">
        <v>1</v>
      </c>
      <c r="E14" s="1">
        <v>0.9</v>
      </c>
      <c r="F14" s="1">
        <v>3.1</v>
      </c>
      <c r="J14" s="13" t="s">
        <v>10</v>
      </c>
      <c r="K14" s="13"/>
      <c r="P14" s="4">
        <f t="shared" ref="P14:U18" si="2">P8/P2</f>
        <v>2.2222222222222223E-2</v>
      </c>
      <c r="Q14" s="4">
        <f t="shared" si="2"/>
        <v>8.3333333333333332E-3</v>
      </c>
      <c r="R14" s="4">
        <f t="shared" si="2"/>
        <v>5.128205128205128E-2</v>
      </c>
      <c r="S14" s="4">
        <f t="shared" si="2"/>
        <v>2.6666666666666665E-2</v>
      </c>
      <c r="T14" s="4">
        <f t="shared" si="2"/>
        <v>1.885618083164127E-2</v>
      </c>
      <c r="U14" s="3">
        <f t="shared" si="2"/>
        <v>8.2391829260850133E-2</v>
      </c>
      <c r="Y14" s="14" t="b">
        <f>Данные!X11=Y13/Y2</f>
        <v>0</v>
      </c>
    </row>
    <row r="15" spans="1:27" x14ac:dyDescent="0.45">
      <c r="A15" s="12"/>
      <c r="B15" s="12"/>
      <c r="C15" s="12"/>
      <c r="D15" s="1">
        <v>2</v>
      </c>
      <c r="E15" s="1">
        <v>0.9</v>
      </c>
      <c r="F15" s="1">
        <v>3.1</v>
      </c>
      <c r="J15" s="1" cm="1">
        <f t="array" ref="J15">SQRT(SUMSQ(E9:E13-J9)/20)</f>
        <v>2.0000000000000018E-2</v>
      </c>
      <c r="K15" s="1" cm="1">
        <f t="array" ref="K15">SQRT(SUMSQ(F9:F13-K9)/20)</f>
        <v>3.162277660168368E-2</v>
      </c>
      <c r="M15" s="1" t="s">
        <v>9</v>
      </c>
      <c r="P15" s="4">
        <f t="shared" si="2"/>
        <v>2.2222222222222223E-2</v>
      </c>
      <c r="Q15" s="4">
        <f t="shared" si="2"/>
        <v>6.6666666666666671E-3</v>
      </c>
      <c r="R15" s="4">
        <f t="shared" si="2"/>
        <v>5.128205128205128E-2</v>
      </c>
      <c r="S15" s="4">
        <f t="shared" si="2"/>
        <v>2.2988505747126436E-2</v>
      </c>
      <c r="T15" s="4">
        <f t="shared" si="2"/>
        <v>1.3468700594029479E-2</v>
      </c>
      <c r="U15" s="3">
        <f t="shared" si="2"/>
        <v>6.3056541992344062E-2</v>
      </c>
    </row>
    <row r="16" spans="1:27" x14ac:dyDescent="0.45">
      <c r="A16" s="12"/>
      <c r="B16" s="12"/>
      <c r="C16" s="12"/>
      <c r="D16" s="1">
        <v>3</v>
      </c>
      <c r="E16" s="1">
        <v>0.9</v>
      </c>
      <c r="F16" s="1">
        <v>3.1</v>
      </c>
      <c r="J16" s="1" cm="1">
        <f t="array" ref="J16">SQRT(SUMSQ(E14:E18-J10)/20)</f>
        <v>1.9999999999999997E-2</v>
      </c>
      <c r="K16" s="1" cm="1">
        <f t="array" ref="K16">SQRT(SUMSQ(F14:F18-K10)/20)</f>
        <v>2.0000000000000018E-2</v>
      </c>
      <c r="M16" s="1">
        <f>SUMSQ(I9:I13)-SUM(I9:I13)^2/5</f>
        <v>1.1880341880341873E-3</v>
      </c>
      <c r="N16" s="1">
        <f>SQRT(SUMSQ(M9:M13)/(3*M16))</f>
        <v>0.27735255221562571</v>
      </c>
      <c r="P16" s="4">
        <f t="shared" si="2"/>
        <v>2.2222222222222223E-2</v>
      </c>
      <c r="Q16" s="4">
        <f t="shared" si="2"/>
        <v>4.7619047619047623E-3</v>
      </c>
      <c r="R16" s="4">
        <f t="shared" si="2"/>
        <v>5.128205128205128E-2</v>
      </c>
      <c r="S16" s="4">
        <f t="shared" si="2"/>
        <v>1.9047619047619046E-2</v>
      </c>
      <c r="T16" s="4">
        <f t="shared" si="2"/>
        <v>8.5709912871096694E-3</v>
      </c>
      <c r="U16" s="3">
        <f t="shared" si="2"/>
        <v>4.7141804804531486E-2</v>
      </c>
    </row>
    <row r="17" spans="1:21" x14ac:dyDescent="0.45">
      <c r="A17" s="12"/>
      <c r="B17" s="12"/>
      <c r="C17" s="12"/>
      <c r="D17" s="1">
        <v>4</v>
      </c>
      <c r="E17" s="1">
        <v>0.9</v>
      </c>
      <c r="F17" s="1">
        <v>3.1</v>
      </c>
      <c r="J17" s="1" cm="1">
        <f t="array" ref="J17">SQRT(SUMSQ(E19:E23-J11)/20)</f>
        <v>2.0000000000000018E-2</v>
      </c>
      <c r="K17" s="1" cm="1">
        <f t="array" ref="K17">SQRT(SUMSQ(F19:F23-K11)/20)</f>
        <v>2.4494897427831803E-2</v>
      </c>
      <c r="M17" s="1" t="s">
        <v>8</v>
      </c>
      <c r="P17" s="4">
        <f t="shared" si="2"/>
        <v>2.2222222222222223E-2</v>
      </c>
      <c r="Q17" s="4">
        <f t="shared" si="2"/>
        <v>3.7037037037037038E-3</v>
      </c>
      <c r="R17" s="4">
        <f t="shared" si="2"/>
        <v>5.128205128205128E-2</v>
      </c>
      <c r="S17" s="4">
        <f t="shared" si="2"/>
        <v>1.6666666666666666E-2</v>
      </c>
      <c r="T17" s="4">
        <f t="shared" si="2"/>
        <v>6.2853936105470897E-3</v>
      </c>
      <c r="U17" s="3">
        <f t="shared" si="2"/>
        <v>3.918889512194379E-2</v>
      </c>
    </row>
    <row r="18" spans="1:21" x14ac:dyDescent="0.45">
      <c r="A18" s="12"/>
      <c r="B18" s="12"/>
      <c r="C18" s="12"/>
      <c r="D18" s="1">
        <v>5</v>
      </c>
      <c r="E18" s="1">
        <v>1</v>
      </c>
      <c r="F18" s="1">
        <v>3.2</v>
      </c>
      <c r="J18" s="1" cm="1">
        <f t="array" ref="J18">SQRT(SUMSQ(E24:E28-J12)/20)</f>
        <v>0</v>
      </c>
      <c r="K18" s="1" cm="1">
        <f t="array" ref="K18">SQRT(SUMSQ(F24:F28-K12)/20)</f>
        <v>0</v>
      </c>
      <c r="M18" s="1">
        <f>2*N16</f>
        <v>0.55470510443125143</v>
      </c>
      <c r="N18" s="1">
        <f>0.6</f>
        <v>0.6</v>
      </c>
      <c r="P18" s="4">
        <f t="shared" si="2"/>
        <v>2.2222222222222223E-2</v>
      </c>
      <c r="Q18" s="4">
        <f t="shared" si="2"/>
        <v>3.0303030303030303E-3</v>
      </c>
      <c r="R18" s="4">
        <f t="shared" si="2"/>
        <v>5.128205128205128E-2</v>
      </c>
      <c r="S18" s="4">
        <f t="shared" si="2"/>
        <v>1.4814814814814815E-2</v>
      </c>
      <c r="T18" s="4">
        <f t="shared" si="2"/>
        <v>4.9621528504319124E-3</v>
      </c>
      <c r="U18" s="3">
        <f t="shared" si="2"/>
        <v>3.3649535714455087E-2</v>
      </c>
    </row>
    <row r="19" spans="1:21" x14ac:dyDescent="0.45">
      <c r="A19" s="12">
        <v>3</v>
      </c>
      <c r="B19" s="12">
        <v>169</v>
      </c>
      <c r="C19" s="12">
        <v>193</v>
      </c>
      <c r="D19" s="1">
        <v>1</v>
      </c>
      <c r="E19" s="1">
        <v>0.7</v>
      </c>
      <c r="F19" s="1">
        <v>2.5</v>
      </c>
      <c r="J19" s="1" cm="1">
        <f t="array" ref="J19">SQRT(SUMSQ(E29:E33-J13)/20)</f>
        <v>2.4494897427831775E-2</v>
      </c>
      <c r="K19" s="1" cm="1">
        <f t="array" ref="K19">SQRT(SUMSQ(F29:F33-K13)/20)</f>
        <v>2.4494897427831806E-2</v>
      </c>
      <c r="M19" s="1" t="s">
        <v>7</v>
      </c>
    </row>
    <row r="20" spans="1:21" x14ac:dyDescent="0.45">
      <c r="A20" s="12"/>
      <c r="B20" s="12"/>
      <c r="C20" s="12"/>
      <c r="D20" s="1">
        <v>2</v>
      </c>
      <c r="E20" s="1">
        <v>0.7</v>
      </c>
      <c r="F20" s="1">
        <v>2.6</v>
      </c>
      <c r="J20" s="13" t="s">
        <v>6</v>
      </c>
      <c r="K20" s="13"/>
      <c r="L20" s="13"/>
      <c r="M20" s="1">
        <f>M18/Q24</f>
        <v>5.4617160990100048E-2</v>
      </c>
      <c r="N20" s="1">
        <v>0.05</v>
      </c>
    </row>
    <row r="21" spans="1:21" x14ac:dyDescent="0.45">
      <c r="A21" s="12"/>
      <c r="B21" s="12"/>
      <c r="C21" s="12"/>
      <c r="D21" s="1">
        <v>3</v>
      </c>
      <c r="E21" s="1">
        <v>0.8</v>
      </c>
      <c r="F21" s="1">
        <v>2.6</v>
      </c>
      <c r="J21" s="1">
        <f t="shared" ref="J21:K25" si="3">J15*2.77644510519779</f>
        <v>5.5528902103955849E-2</v>
      </c>
      <c r="K21" s="1">
        <f t="shared" si="3"/>
        <v>8.7798903308507856E-2</v>
      </c>
      <c r="L21" s="1">
        <f>L9*SQRT((Q8)^2*2/(Q2-P2)^2 + 4*((J9*J21)^2+(K9*K21)^2)/(K9^2-J9^2)^2)</f>
        <v>4.8061979960275685E-3</v>
      </c>
    </row>
    <row r="22" spans="1:21" x14ac:dyDescent="0.45">
      <c r="A22" s="12"/>
      <c r="B22" s="12"/>
      <c r="C22" s="12"/>
      <c r="D22" s="1">
        <v>4</v>
      </c>
      <c r="E22" s="1">
        <v>0.7</v>
      </c>
      <c r="F22" s="1">
        <v>2.5</v>
      </c>
      <c r="J22" s="1">
        <f t="shared" si="3"/>
        <v>5.5528902103955786E-2</v>
      </c>
      <c r="K22" s="1">
        <f t="shared" si="3"/>
        <v>5.5528902103955849E-2</v>
      </c>
      <c r="L22" s="1">
        <f>L10*SQRT((Q9)^2*2/(Q3-P3)^2 + 4*((J10*J22)^2+(K10*K22)^2)/(K10^2-J10^2)^2)</f>
        <v>9.1533107574913626E-3</v>
      </c>
    </row>
    <row r="23" spans="1:21" x14ac:dyDescent="0.45">
      <c r="A23" s="12"/>
      <c r="B23" s="12"/>
      <c r="C23" s="12"/>
      <c r="D23" s="1">
        <v>5</v>
      </c>
      <c r="E23" s="1">
        <v>0.7</v>
      </c>
      <c r="F23" s="1">
        <v>2.5</v>
      </c>
      <c r="J23" s="1">
        <f t="shared" si="3"/>
        <v>5.5528902103955849E-2</v>
      </c>
      <c r="K23" s="1">
        <f t="shared" si="3"/>
        <v>6.8008738065825539E-2</v>
      </c>
      <c r="L23" s="1">
        <f>L11*SQRT((Q10)^2*2/(Q4-P4)^2 + 4*((J11*J23)^2+(K11*K23)^2)/(K11^2-J11^2)^2)</f>
        <v>1.9335509246713768E-2</v>
      </c>
      <c r="P23" s="1" t="s">
        <v>5</v>
      </c>
      <c r="Q23" s="1" t="s">
        <v>4</v>
      </c>
    </row>
    <row r="24" spans="1:21" x14ac:dyDescent="0.45">
      <c r="A24" s="12">
        <v>4</v>
      </c>
      <c r="B24" s="12">
        <v>160</v>
      </c>
      <c r="C24" s="12">
        <v>193</v>
      </c>
      <c r="D24" s="1">
        <v>1</v>
      </c>
      <c r="E24" s="1">
        <v>0.6</v>
      </c>
      <c r="F24" s="1">
        <v>2.2000000000000002</v>
      </c>
      <c r="J24" s="1">
        <f t="shared" si="3"/>
        <v>0</v>
      </c>
      <c r="K24" s="1">
        <f t="shared" si="3"/>
        <v>0</v>
      </c>
      <c r="L24" s="1">
        <f>L12*SQRT((Q11)^2*2/(Q5-P5)^2 + 4*((J12*J24)^2+(K12*K24)^2)/(K12^2-J12^2)^2)</f>
        <v>2.6656803259016673E-3</v>
      </c>
      <c r="P24" s="1">
        <f>(SUM(L9:L13)-SUM(I9:I13)*Q24)/5</f>
        <v>-5.9403528648700023E-3</v>
      </c>
      <c r="Q24" s="2">
        <f>(SUMPRODUCT(L9:L13,I9:I13)-SUM(L9:L13)*SUM(I9:I13)/5)/(SUMSQ(I9:I13)-SUM(I9:I13)^2/5)</f>
        <v>10.156242001150476</v>
      </c>
    </row>
    <row r="25" spans="1:21" x14ac:dyDescent="0.45">
      <c r="A25" s="12"/>
      <c r="B25" s="12"/>
      <c r="C25" s="12"/>
      <c r="D25" s="1">
        <v>2</v>
      </c>
      <c r="E25" s="1">
        <v>0.6</v>
      </c>
      <c r="F25" s="1">
        <v>2.2000000000000002</v>
      </c>
      <c r="J25" s="1">
        <f t="shared" si="3"/>
        <v>6.8008738065825469E-2</v>
      </c>
      <c r="K25" s="1">
        <f t="shared" si="3"/>
        <v>6.8008738065825552E-2</v>
      </c>
      <c r="L25" s="1">
        <f>L13*SQRT((Q12)^2*2/(Q6-P6)^2 + 4*((J13*J25)^2+(K13*K25)^2)/(K13^2-J13^2)^2)</f>
        <v>4.3927165752333672E-2</v>
      </c>
      <c r="Q25" s="1" t="s">
        <v>3</v>
      </c>
      <c r="R25" s="1" t="s">
        <v>2</v>
      </c>
      <c r="S25" s="1" t="s">
        <v>1</v>
      </c>
    </row>
    <row r="26" spans="1:21" x14ac:dyDescent="0.45">
      <c r="A26" s="12"/>
      <c r="B26" s="12"/>
      <c r="C26" s="12"/>
      <c r="D26" s="1">
        <v>3</v>
      </c>
      <c r="E26" s="1">
        <v>0.6</v>
      </c>
      <c r="F26" s="1">
        <v>2.2000000000000002</v>
      </c>
      <c r="J26" s="13" t="s">
        <v>0</v>
      </c>
      <c r="K26" s="13"/>
      <c r="L26" s="13"/>
      <c r="Q26" s="1">
        <v>10.199999999999999</v>
      </c>
      <c r="R26" s="1">
        <v>9.8194999999999997</v>
      </c>
      <c r="S26" s="1">
        <f>Q26-R26</f>
        <v>0.38049999999999962</v>
      </c>
    </row>
    <row r="27" spans="1:21" x14ac:dyDescent="0.45">
      <c r="A27" s="12"/>
      <c r="B27" s="12"/>
      <c r="C27" s="12"/>
      <c r="D27" s="1">
        <v>4</v>
      </c>
      <c r="E27" s="1">
        <v>0.6</v>
      </c>
      <c r="F27" s="1">
        <v>2.2000000000000002</v>
      </c>
      <c r="J27" s="1">
        <f t="shared" ref="J27:L31" si="4">J21/J9</f>
        <v>4.3381954768715515E-2</v>
      </c>
      <c r="K27" s="1">
        <f t="shared" si="4"/>
        <v>1.9510867401890633E-2</v>
      </c>
      <c r="L27" s="1">
        <f t="shared" si="4"/>
        <v>4.7079491906771943E-2</v>
      </c>
    </row>
    <row r="28" spans="1:21" x14ac:dyDescent="0.45">
      <c r="A28" s="12"/>
      <c r="B28" s="12"/>
      <c r="C28" s="12"/>
      <c r="D28" s="1">
        <v>5</v>
      </c>
      <c r="E28" s="1">
        <v>0.6</v>
      </c>
      <c r="F28" s="1">
        <v>2.2000000000000002</v>
      </c>
      <c r="J28" s="1">
        <f t="shared" si="4"/>
        <v>6.035750228690847E-2</v>
      </c>
      <c r="K28" s="1">
        <f t="shared" si="4"/>
        <v>1.7797725033319181E-2</v>
      </c>
      <c r="L28" s="1">
        <f t="shared" si="4"/>
        <v>4.2818224217149072E-2</v>
      </c>
      <c r="R28" s="3">
        <f>S26/Q26</f>
        <v>3.7303921568627413E-2</v>
      </c>
    </row>
    <row r="29" spans="1:21" x14ac:dyDescent="0.45">
      <c r="A29" s="12">
        <v>5</v>
      </c>
      <c r="B29" s="12">
        <v>151</v>
      </c>
      <c r="C29" s="12">
        <v>192</v>
      </c>
      <c r="D29" s="1">
        <v>1</v>
      </c>
      <c r="E29" s="1">
        <v>0.6</v>
      </c>
      <c r="F29" s="1">
        <v>2</v>
      </c>
      <c r="J29" s="1">
        <f t="shared" si="4"/>
        <v>7.7123475144383113E-2</v>
      </c>
      <c r="K29" s="1">
        <f t="shared" si="4"/>
        <v>2.6775093726702968E-2</v>
      </c>
      <c r="L29" s="1">
        <f t="shared" si="4"/>
        <v>6.0379707085580069E-2</v>
      </c>
    </row>
    <row r="30" spans="1:21" x14ac:dyDescent="0.45">
      <c r="A30" s="12"/>
      <c r="B30" s="12"/>
      <c r="C30" s="12"/>
      <c r="D30" s="1">
        <v>2</v>
      </c>
      <c r="E30" s="1">
        <v>0.5</v>
      </c>
      <c r="F30" s="1">
        <v>1.9</v>
      </c>
      <c r="J30" s="1">
        <f t="shared" si="4"/>
        <v>0</v>
      </c>
      <c r="K30" s="1">
        <f t="shared" si="4"/>
        <v>0</v>
      </c>
      <c r="L30" s="1">
        <f t="shared" si="4"/>
        <v>6.2853936105470897E-3</v>
      </c>
    </row>
    <row r="31" spans="1:21" x14ac:dyDescent="0.45">
      <c r="A31" s="12"/>
      <c r="B31" s="12"/>
      <c r="C31" s="12"/>
      <c r="D31" s="1">
        <v>3</v>
      </c>
      <c r="E31" s="1">
        <v>0.6</v>
      </c>
      <c r="F31" s="1">
        <v>2</v>
      </c>
      <c r="J31" s="1">
        <f t="shared" si="4"/>
        <v>0.12144417511754547</v>
      </c>
      <c r="K31" s="1">
        <f t="shared" si="4"/>
        <v>3.5056050549394611E-2</v>
      </c>
      <c r="L31" s="1">
        <f t="shared" si="4"/>
        <v>7.9762485181869056E-2</v>
      </c>
    </row>
    <row r="32" spans="1:21" x14ac:dyDescent="0.45">
      <c r="A32" s="12"/>
      <c r="B32" s="12"/>
      <c r="C32" s="12"/>
      <c r="D32" s="1">
        <v>4</v>
      </c>
      <c r="E32" s="1">
        <v>0.6</v>
      </c>
      <c r="F32" s="1">
        <v>1.9</v>
      </c>
    </row>
    <row r="33" spans="1:6" x14ac:dyDescent="0.45">
      <c r="A33" s="12"/>
      <c r="B33" s="12"/>
      <c r="C33" s="12"/>
      <c r="D33" s="1">
        <v>5</v>
      </c>
      <c r="E33" s="1">
        <v>0.5</v>
      </c>
      <c r="F33" s="1">
        <v>1.9</v>
      </c>
    </row>
  </sheetData>
  <mergeCells count="21">
    <mergeCell ref="A3:D3"/>
    <mergeCell ref="A19:A23"/>
    <mergeCell ref="B19:B23"/>
    <mergeCell ref="C19:C23"/>
    <mergeCell ref="A24:A28"/>
    <mergeCell ref="B24:B28"/>
    <mergeCell ref="C24:C28"/>
    <mergeCell ref="A9:A13"/>
    <mergeCell ref="B9:B13"/>
    <mergeCell ref="C9:C13"/>
    <mergeCell ref="A29:A33"/>
    <mergeCell ref="B29:B33"/>
    <mergeCell ref="C29:C33"/>
    <mergeCell ref="J20:L20"/>
    <mergeCell ref="J26:L26"/>
    <mergeCell ref="J14:K14"/>
    <mergeCell ref="A14:A18"/>
    <mergeCell ref="B14:B18"/>
    <mergeCell ref="C14:C18"/>
    <mergeCell ref="P7:U7"/>
    <mergeCell ref="P13:U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Жаргал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Затикян</dc:creator>
  <cp:lastModifiedBy>Сергей Затикян</cp:lastModifiedBy>
  <dcterms:created xsi:type="dcterms:W3CDTF">2023-03-19T20:42:07Z</dcterms:created>
  <dcterms:modified xsi:type="dcterms:W3CDTF">2023-03-24T21:19:05Z</dcterms:modified>
</cp:coreProperties>
</file>