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0e86aae30672e865/Рабочий стол/Физика/Мои лабы/Лаба 1.04/"/>
    </mc:Choice>
  </mc:AlternateContent>
  <xr:revisionPtr revIDLastSave="262" documentId="11_F25DC773A252ABDACC10487B915D49105ADE58F8" xr6:coauthVersionLast="47" xr6:coauthVersionMax="47" xr10:uidLastSave="{693CB1FB-BB02-43B1-BBE7-BC85F7C8AE13}"/>
  <bookViews>
    <workbookView xWindow="-83" yWindow="0" windowWidth="10965" windowHeight="12863" xr2:uid="{00000000-000D-0000-FFFF-FFFF00000000}"/>
  </bookViews>
  <sheets>
    <sheet name="Серега" sheetId="1" r:id="rId1"/>
    <sheet name="Жаргал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9" i="1" l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C21" i="1" l="1"/>
  <c r="D21" i="1"/>
  <c r="D22" i="1" s="1"/>
  <c r="E21" i="1"/>
  <c r="F21" i="1"/>
  <c r="G21" i="1"/>
  <c r="G22" i="1" s="1"/>
  <c r="H21" i="1"/>
  <c r="H22" i="1" s="1"/>
  <c r="C22" i="1"/>
  <c r="E22" i="1"/>
  <c r="F22" i="1"/>
  <c r="F24" i="1" s="1"/>
  <c r="C23" i="1"/>
  <c r="E23" i="1"/>
  <c r="C24" i="1"/>
  <c r="E24" i="1"/>
  <c r="C25" i="1"/>
  <c r="D25" i="1"/>
  <c r="D26" i="1" s="1"/>
  <c r="E25" i="1"/>
  <c r="E26" i="1" s="1"/>
  <c r="F25" i="1"/>
  <c r="G25" i="1"/>
  <c r="G26" i="1" s="1"/>
  <c r="H25" i="1"/>
  <c r="H26" i="1" s="1"/>
  <c r="C26" i="1"/>
  <c r="F26" i="1"/>
  <c r="F28" i="1" s="1"/>
  <c r="C27" i="1"/>
  <c r="C28" i="1"/>
  <c r="C29" i="1"/>
  <c r="D29" i="1"/>
  <c r="D30" i="1" s="1"/>
  <c r="E29" i="1"/>
  <c r="F29" i="1"/>
  <c r="G29" i="1"/>
  <c r="G30" i="1" s="1"/>
  <c r="H29" i="1"/>
  <c r="H30" i="1" s="1"/>
  <c r="C30" i="1"/>
  <c r="E30" i="1"/>
  <c r="F30" i="1"/>
  <c r="F32" i="1" s="1"/>
  <c r="C31" i="1"/>
  <c r="E31" i="1"/>
  <c r="C32" i="1"/>
  <c r="E32" i="1"/>
  <c r="C33" i="1"/>
  <c r="D33" i="1"/>
  <c r="D34" i="1" s="1"/>
  <c r="E33" i="1"/>
  <c r="F33" i="1"/>
  <c r="G33" i="1"/>
  <c r="G34" i="1" s="1"/>
  <c r="H33" i="1"/>
  <c r="H34" i="1" s="1"/>
  <c r="C34" i="1"/>
  <c r="E34" i="1"/>
  <c r="F34" i="1"/>
  <c r="F36" i="1" s="1"/>
  <c r="C35" i="1"/>
  <c r="E35" i="1"/>
  <c r="C36" i="1"/>
  <c r="E36" i="1"/>
  <c r="C50" i="1"/>
  <c r="D50" i="1" s="1"/>
  <c r="C49" i="1"/>
  <c r="D49" i="1" s="1"/>
  <c r="C48" i="1"/>
  <c r="D48" i="1" s="1"/>
  <c r="C47" i="1"/>
  <c r="D47" i="1" s="1"/>
  <c r="C46" i="1"/>
  <c r="D46" i="1" s="1"/>
  <c r="C45" i="1"/>
  <c r="D45" i="1" s="1"/>
  <c r="P3" i="2"/>
  <c r="C6" i="2"/>
  <c r="I3" i="2" s="1"/>
  <c r="D6" i="2"/>
  <c r="D21" i="2" s="1"/>
  <c r="D22" i="2" s="1"/>
  <c r="E6" i="2"/>
  <c r="T29" i="2" s="1"/>
  <c r="U29" i="2" s="1"/>
  <c r="V29" i="2" s="1"/>
  <c r="F6" i="2"/>
  <c r="F21" i="2" s="1"/>
  <c r="F22" i="2" s="1"/>
  <c r="G6" i="2"/>
  <c r="T37" i="2" s="1"/>
  <c r="U37" i="2" s="1"/>
  <c r="H6" i="2"/>
  <c r="T41" i="2" s="1"/>
  <c r="U41" i="2" s="1"/>
  <c r="C10" i="2"/>
  <c r="D10" i="2"/>
  <c r="T26" i="2" s="1"/>
  <c r="U26" i="2" s="1"/>
  <c r="V26" i="2" s="1"/>
  <c r="E10" i="2"/>
  <c r="T30" i="2" s="1"/>
  <c r="U30" i="2" s="1"/>
  <c r="V30" i="2" s="1"/>
  <c r="F10" i="2"/>
  <c r="F25" i="2" s="1"/>
  <c r="F26" i="2" s="1"/>
  <c r="G10" i="2"/>
  <c r="T38" i="2" s="1"/>
  <c r="U38" i="2" s="1"/>
  <c r="V38" i="2" s="1"/>
  <c r="H10" i="2"/>
  <c r="H25" i="2" s="1"/>
  <c r="H26" i="2" s="1"/>
  <c r="C14" i="2"/>
  <c r="T23" i="2" s="1"/>
  <c r="U23" i="2" s="1"/>
  <c r="D14" i="2"/>
  <c r="D29" i="2" s="1"/>
  <c r="D30" i="2" s="1"/>
  <c r="E14" i="2"/>
  <c r="F14" i="2"/>
  <c r="T35" i="2" s="1"/>
  <c r="U35" i="2" s="1"/>
  <c r="G14" i="2"/>
  <c r="G29" i="2" s="1"/>
  <c r="G30" i="2" s="1"/>
  <c r="H14" i="2"/>
  <c r="H29" i="2" s="1"/>
  <c r="H30" i="2" s="1"/>
  <c r="H31" i="2" s="1"/>
  <c r="C18" i="2"/>
  <c r="T24" i="2" s="1"/>
  <c r="U24" i="2" s="1"/>
  <c r="W24" i="2" s="1"/>
  <c r="D18" i="2"/>
  <c r="T28" i="2" s="1"/>
  <c r="U28" i="2" s="1"/>
  <c r="E18" i="2"/>
  <c r="E33" i="2" s="1"/>
  <c r="E34" i="2" s="1"/>
  <c r="F18" i="2"/>
  <c r="F33" i="2" s="1"/>
  <c r="F34" i="2" s="1"/>
  <c r="G18" i="2"/>
  <c r="H18" i="2"/>
  <c r="T44" i="2" s="1"/>
  <c r="U44" i="2" s="1"/>
  <c r="C21" i="2"/>
  <c r="C22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W38" i="2" l="1"/>
  <c r="T42" i="2"/>
  <c r="U42" i="2" s="1"/>
  <c r="V42" i="2" s="1"/>
  <c r="T39" i="2"/>
  <c r="U39" i="2" s="1"/>
  <c r="W29" i="2"/>
  <c r="E25" i="2"/>
  <c r="E26" i="2" s="1"/>
  <c r="E27" i="2" s="1"/>
  <c r="F29" i="2"/>
  <c r="F30" i="2" s="1"/>
  <c r="F32" i="2" s="1"/>
  <c r="T21" i="2"/>
  <c r="U21" i="2" s="1"/>
  <c r="V21" i="2" s="1"/>
  <c r="T33" i="2"/>
  <c r="U33" i="2" s="1"/>
  <c r="W33" i="2" s="1"/>
  <c r="D33" i="2"/>
  <c r="D34" i="2" s="1"/>
  <c r="D35" i="2" s="1"/>
  <c r="C33" i="2"/>
  <c r="C34" i="2" s="1"/>
  <c r="C36" i="2" s="1"/>
  <c r="W37" i="2"/>
  <c r="V37" i="2"/>
  <c r="F23" i="2"/>
  <c r="F24" i="2"/>
  <c r="H21" i="2"/>
  <c r="H22" i="2" s="1"/>
  <c r="H23" i="2" s="1"/>
  <c r="G21" i="2"/>
  <c r="G22" i="2" s="1"/>
  <c r="G24" i="2" s="1"/>
  <c r="C29" i="2"/>
  <c r="C30" i="2" s="1"/>
  <c r="C32" i="2" s="1"/>
  <c r="E21" i="2"/>
  <c r="E22" i="2" s="1"/>
  <c r="E24" i="2" s="1"/>
  <c r="T32" i="2"/>
  <c r="U32" i="2" s="1"/>
  <c r="V32" i="2" s="1"/>
  <c r="T43" i="2"/>
  <c r="U43" i="2" s="1"/>
  <c r="W43" i="2" s="1"/>
  <c r="W39" i="2"/>
  <c r="V39" i="2"/>
  <c r="V44" i="2"/>
  <c r="W44" i="2"/>
  <c r="W35" i="2"/>
  <c r="V35" i="2"/>
  <c r="H32" i="2"/>
  <c r="T25" i="2"/>
  <c r="U25" i="2" s="1"/>
  <c r="V25" i="2" s="1"/>
  <c r="T36" i="2"/>
  <c r="U36" i="2" s="1"/>
  <c r="V36" i="2" s="1"/>
  <c r="H33" i="2"/>
  <c r="H34" i="2" s="1"/>
  <c r="D25" i="2"/>
  <c r="D26" i="2" s="1"/>
  <c r="E28" i="1"/>
  <c r="E27" i="1"/>
  <c r="D28" i="1"/>
  <c r="D27" i="1"/>
  <c r="H23" i="1"/>
  <c r="H24" i="1"/>
  <c r="G23" i="1"/>
  <c r="G24" i="1"/>
  <c r="G31" i="1"/>
  <c r="G32" i="1"/>
  <c r="H31" i="1"/>
  <c r="H32" i="1"/>
  <c r="H28" i="1"/>
  <c r="H27" i="1"/>
  <c r="D24" i="1"/>
  <c r="D23" i="1"/>
  <c r="D36" i="1"/>
  <c r="D35" i="1"/>
  <c r="H36" i="1"/>
  <c r="H35" i="1"/>
  <c r="G27" i="1"/>
  <c r="G28" i="1"/>
  <c r="G35" i="1"/>
  <c r="G36" i="1"/>
  <c r="D32" i="1"/>
  <c r="D31" i="1"/>
  <c r="F35" i="1"/>
  <c r="F31" i="1"/>
  <c r="F27" i="1"/>
  <c r="F23" i="1"/>
  <c r="C52" i="1"/>
  <c r="H48" i="1" s="1"/>
  <c r="H46" i="1"/>
  <c r="H50" i="1"/>
  <c r="W34" i="1"/>
  <c r="V40" i="1"/>
  <c r="V41" i="1"/>
  <c r="W31" i="1"/>
  <c r="W23" i="1"/>
  <c r="V23" i="1"/>
  <c r="V27" i="1"/>
  <c r="W32" i="1"/>
  <c r="W28" i="1"/>
  <c r="V28" i="1"/>
  <c r="V43" i="1"/>
  <c r="F35" i="2"/>
  <c r="F36" i="2"/>
  <c r="T40" i="2"/>
  <c r="U40" i="2" s="1"/>
  <c r="G33" i="2"/>
  <c r="G34" i="2" s="1"/>
  <c r="E29" i="2"/>
  <c r="E30" i="2" s="1"/>
  <c r="T31" i="2"/>
  <c r="U31" i="2" s="1"/>
  <c r="T22" i="2"/>
  <c r="U22" i="2" s="1"/>
  <c r="C25" i="2"/>
  <c r="C26" i="2" s="1"/>
  <c r="H27" i="2"/>
  <c r="H28" i="2"/>
  <c r="D31" i="2"/>
  <c r="D32" i="2"/>
  <c r="G32" i="2"/>
  <c r="G31" i="2"/>
  <c r="E36" i="2"/>
  <c r="E35" i="2"/>
  <c r="W41" i="2"/>
  <c r="V41" i="2"/>
  <c r="F31" i="2"/>
  <c r="V24" i="2"/>
  <c r="C52" i="2"/>
  <c r="H46" i="2" s="1"/>
  <c r="V28" i="2"/>
  <c r="W28" i="2"/>
  <c r="F28" i="2"/>
  <c r="F27" i="2"/>
  <c r="C23" i="2"/>
  <c r="C24" i="2"/>
  <c r="D24" i="2"/>
  <c r="D23" i="2"/>
  <c r="V23" i="2"/>
  <c r="W23" i="2"/>
  <c r="T27" i="2"/>
  <c r="U27" i="2" s="1"/>
  <c r="I5" i="2"/>
  <c r="I4" i="2"/>
  <c r="W42" i="2"/>
  <c r="W30" i="2"/>
  <c r="W26" i="2"/>
  <c r="G25" i="2"/>
  <c r="G26" i="2" s="1"/>
  <c r="T34" i="2"/>
  <c r="U34" i="2" s="1"/>
  <c r="P3" i="1"/>
  <c r="H18" i="1"/>
  <c r="T44" i="1" s="1"/>
  <c r="U44" i="1" s="1"/>
  <c r="V44" i="1" s="1"/>
  <c r="G18" i="1"/>
  <c r="T40" i="1" s="1"/>
  <c r="U40" i="1" s="1"/>
  <c r="W40" i="1" s="1"/>
  <c r="F18" i="1"/>
  <c r="T36" i="1" s="1"/>
  <c r="U36" i="1" s="1"/>
  <c r="W36" i="1" s="1"/>
  <c r="E18" i="1"/>
  <c r="T32" i="1" s="1"/>
  <c r="U32" i="1" s="1"/>
  <c r="V32" i="1" s="1"/>
  <c r="D18" i="1"/>
  <c r="T28" i="1" s="1"/>
  <c r="U28" i="1" s="1"/>
  <c r="C18" i="1"/>
  <c r="T24" i="1" s="1"/>
  <c r="U24" i="1" s="1"/>
  <c r="W24" i="1" s="1"/>
  <c r="H14" i="1"/>
  <c r="T43" i="1" s="1"/>
  <c r="U43" i="1" s="1"/>
  <c r="W43" i="1" s="1"/>
  <c r="G14" i="1"/>
  <c r="T39" i="1" s="1"/>
  <c r="U39" i="1" s="1"/>
  <c r="W39" i="1" s="1"/>
  <c r="F14" i="1"/>
  <c r="T35" i="1" s="1"/>
  <c r="U35" i="1" s="1"/>
  <c r="W35" i="1" s="1"/>
  <c r="E14" i="1"/>
  <c r="T31" i="1" s="1"/>
  <c r="U31" i="1" s="1"/>
  <c r="V31" i="1" s="1"/>
  <c r="D14" i="1"/>
  <c r="T27" i="1" s="1"/>
  <c r="U27" i="1" s="1"/>
  <c r="W27" i="1" s="1"/>
  <c r="C14" i="1"/>
  <c r="T23" i="1" s="1"/>
  <c r="U23" i="1" s="1"/>
  <c r="H10" i="1"/>
  <c r="T42" i="1" s="1"/>
  <c r="U42" i="1" s="1"/>
  <c r="W42" i="1" s="1"/>
  <c r="G10" i="1"/>
  <c r="T38" i="1" s="1"/>
  <c r="U38" i="1" s="1"/>
  <c r="V38" i="1" s="1"/>
  <c r="F10" i="1"/>
  <c r="T34" i="1" s="1"/>
  <c r="U34" i="1" s="1"/>
  <c r="V34" i="1" s="1"/>
  <c r="E10" i="1"/>
  <c r="T30" i="1" s="1"/>
  <c r="U30" i="1" s="1"/>
  <c r="V30" i="1" s="1"/>
  <c r="D10" i="1"/>
  <c r="T26" i="1" s="1"/>
  <c r="U26" i="1" s="1"/>
  <c r="W26" i="1" s="1"/>
  <c r="C10" i="1"/>
  <c r="T22" i="1" s="1"/>
  <c r="U22" i="1" s="1"/>
  <c r="V22" i="1" s="1"/>
  <c r="H6" i="1"/>
  <c r="T41" i="1" s="1"/>
  <c r="U41" i="1" s="1"/>
  <c r="W41" i="1" s="1"/>
  <c r="G6" i="1"/>
  <c r="T37" i="1" s="1"/>
  <c r="U37" i="1" s="1"/>
  <c r="W37" i="1" s="1"/>
  <c r="F6" i="1"/>
  <c r="T33" i="1" s="1"/>
  <c r="U33" i="1" s="1"/>
  <c r="W33" i="1" s="1"/>
  <c r="E6" i="1"/>
  <c r="T29" i="1" s="1"/>
  <c r="U29" i="1" s="1"/>
  <c r="V29" i="1" s="1"/>
  <c r="D6" i="1"/>
  <c r="T25" i="1" s="1"/>
  <c r="U25" i="1" s="1"/>
  <c r="W25" i="1" s="1"/>
  <c r="C6" i="1"/>
  <c r="H47" i="2" l="1"/>
  <c r="H24" i="2"/>
  <c r="G23" i="2"/>
  <c r="W21" i="2"/>
  <c r="C35" i="2"/>
  <c r="V33" i="2"/>
  <c r="W32" i="2"/>
  <c r="D36" i="2"/>
  <c r="V43" i="2"/>
  <c r="E28" i="2"/>
  <c r="J3" i="2"/>
  <c r="K3" i="2" s="1"/>
  <c r="K24" i="2" s="1"/>
  <c r="W25" i="2"/>
  <c r="E23" i="2"/>
  <c r="F39" i="2"/>
  <c r="C31" i="2"/>
  <c r="W36" i="2"/>
  <c r="F40" i="2"/>
  <c r="D27" i="2"/>
  <c r="D39" i="2" s="1"/>
  <c r="D28" i="2"/>
  <c r="H36" i="2"/>
  <c r="H35" i="2"/>
  <c r="H39" i="2" s="1"/>
  <c r="H48" i="2"/>
  <c r="W44" i="1"/>
  <c r="V39" i="1"/>
  <c r="V35" i="1"/>
  <c r="F39" i="1"/>
  <c r="V42" i="1"/>
  <c r="W30" i="1"/>
  <c r="W38" i="1"/>
  <c r="V36" i="1"/>
  <c r="V26" i="1"/>
  <c r="W29" i="1"/>
  <c r="H49" i="1"/>
  <c r="V24" i="1"/>
  <c r="H40" i="1"/>
  <c r="V33" i="1"/>
  <c r="V37" i="1"/>
  <c r="V25" i="1"/>
  <c r="I3" i="1"/>
  <c r="J3" i="1" s="1"/>
  <c r="K3" i="1" s="1"/>
  <c r="I4" i="1"/>
  <c r="I5" i="1"/>
  <c r="E40" i="1"/>
  <c r="W22" i="1"/>
  <c r="H45" i="1"/>
  <c r="H47" i="1"/>
  <c r="V22" i="2"/>
  <c r="W22" i="2"/>
  <c r="V34" i="2"/>
  <c r="W34" i="2"/>
  <c r="E32" i="2"/>
  <c r="E31" i="2"/>
  <c r="K22" i="2"/>
  <c r="O22" i="2" s="1"/>
  <c r="C28" i="2"/>
  <c r="C40" i="2" s="1"/>
  <c r="C27" i="2"/>
  <c r="H45" i="2"/>
  <c r="H49" i="2"/>
  <c r="H50" i="2"/>
  <c r="W31" i="2"/>
  <c r="V31" i="2"/>
  <c r="G28" i="2"/>
  <c r="G27" i="2"/>
  <c r="G35" i="2"/>
  <c r="G36" i="2"/>
  <c r="V27" i="2"/>
  <c r="W27" i="2"/>
  <c r="V40" i="2"/>
  <c r="W40" i="2"/>
  <c r="H40" i="2" l="1"/>
  <c r="H41" i="2" s="1"/>
  <c r="E50" i="2" s="1"/>
  <c r="F41" i="2"/>
  <c r="E48" i="2" s="1"/>
  <c r="C39" i="2"/>
  <c r="C41" i="2" s="1"/>
  <c r="E45" i="2" s="1"/>
  <c r="O28" i="2"/>
  <c r="D40" i="2"/>
  <c r="D41" i="2" s="1"/>
  <c r="E46" i="2" s="1"/>
  <c r="K23" i="2"/>
  <c r="M23" i="2" s="1"/>
  <c r="G40" i="2"/>
  <c r="K21" i="2"/>
  <c r="K27" i="2" s="1"/>
  <c r="E40" i="2"/>
  <c r="E39" i="2"/>
  <c r="E41" i="2" s="1"/>
  <c r="E47" i="2" s="1"/>
  <c r="D39" i="1"/>
  <c r="T21" i="1"/>
  <c r="U21" i="1" s="1"/>
  <c r="G40" i="1"/>
  <c r="E39" i="1"/>
  <c r="E41" i="1" s="1"/>
  <c r="E47" i="1" s="1"/>
  <c r="D40" i="1"/>
  <c r="K21" i="1"/>
  <c r="K23" i="1"/>
  <c r="K24" i="1"/>
  <c r="K22" i="1"/>
  <c r="C56" i="1"/>
  <c r="M22" i="2"/>
  <c r="M28" i="2" s="1"/>
  <c r="K28" i="2"/>
  <c r="O35" i="2"/>
  <c r="O34" i="2"/>
  <c r="M24" i="2"/>
  <c r="K30" i="2"/>
  <c r="O24" i="2"/>
  <c r="G39" i="2"/>
  <c r="C56" i="2"/>
  <c r="F42" i="2"/>
  <c r="O21" i="2" l="1"/>
  <c r="M21" i="2"/>
  <c r="M33" i="2" s="1"/>
  <c r="O23" i="2"/>
  <c r="G41" i="2"/>
  <c r="E49" i="2" s="1"/>
  <c r="K29" i="2"/>
  <c r="M35" i="2"/>
  <c r="C42" i="2"/>
  <c r="X24" i="2" s="1"/>
  <c r="H42" i="2"/>
  <c r="X44" i="2" s="1"/>
  <c r="D42" i="2"/>
  <c r="X26" i="2" s="1"/>
  <c r="M34" i="2"/>
  <c r="E42" i="2"/>
  <c r="X31" i="2" s="1"/>
  <c r="F40" i="1"/>
  <c r="V21" i="1"/>
  <c r="O21" i="1"/>
  <c r="W21" i="1"/>
  <c r="C40" i="1"/>
  <c r="C39" i="1"/>
  <c r="O22" i="1"/>
  <c r="O28" i="1" s="1"/>
  <c r="K28" i="1"/>
  <c r="M22" i="1"/>
  <c r="M28" i="1" s="1"/>
  <c r="H39" i="1"/>
  <c r="H41" i="1" s="1"/>
  <c r="K30" i="1"/>
  <c r="M24" i="1"/>
  <c r="M30" i="1" s="1"/>
  <c r="O24" i="1"/>
  <c r="O30" i="1" s="1"/>
  <c r="M23" i="1"/>
  <c r="M29" i="1" s="1"/>
  <c r="K29" i="1"/>
  <c r="O23" i="1"/>
  <c r="O29" i="1" s="1"/>
  <c r="E42" i="1"/>
  <c r="M21" i="1"/>
  <c r="M27" i="1" s="1"/>
  <c r="K27" i="1"/>
  <c r="G39" i="1"/>
  <c r="G41" i="1" s="1"/>
  <c r="E49" i="1" s="1"/>
  <c r="D41" i="1"/>
  <c r="M29" i="2"/>
  <c r="M37" i="2"/>
  <c r="M36" i="2"/>
  <c r="X35" i="2"/>
  <c r="X34" i="2"/>
  <c r="X36" i="2"/>
  <c r="X33" i="2"/>
  <c r="O27" i="2"/>
  <c r="O33" i="2"/>
  <c r="O32" i="2"/>
  <c r="O29" i="2"/>
  <c r="O37" i="2"/>
  <c r="O36" i="2"/>
  <c r="M30" i="2"/>
  <c r="M38" i="2"/>
  <c r="M39" i="2"/>
  <c r="O30" i="2"/>
  <c r="O39" i="2"/>
  <c r="O38" i="2"/>
  <c r="G42" i="2"/>
  <c r="C53" i="2"/>
  <c r="M27" i="2"/>
  <c r="M32" i="2"/>
  <c r="X22" i="2" l="1"/>
  <c r="X27" i="2"/>
  <c r="X21" i="2"/>
  <c r="X25" i="2"/>
  <c r="X28" i="2"/>
  <c r="X23" i="2"/>
  <c r="X43" i="2"/>
  <c r="X42" i="2"/>
  <c r="X32" i="2"/>
  <c r="X29" i="2"/>
  <c r="X30" i="2"/>
  <c r="X41" i="2"/>
  <c r="E50" i="1"/>
  <c r="H42" i="1"/>
  <c r="O27" i="1"/>
  <c r="F41" i="1"/>
  <c r="E48" i="1" s="1"/>
  <c r="D42" i="1"/>
  <c r="E46" i="1"/>
  <c r="X29" i="1"/>
  <c r="X31" i="1"/>
  <c r="X32" i="1"/>
  <c r="X30" i="1"/>
  <c r="C41" i="1"/>
  <c r="G42" i="1"/>
  <c r="X39" i="2"/>
  <c r="X38" i="2"/>
  <c r="X40" i="2"/>
  <c r="X37" i="2"/>
  <c r="C54" i="2"/>
  <c r="D54" i="2" s="1"/>
  <c r="X38" i="1" l="1"/>
  <c r="X40" i="1"/>
  <c r="X39" i="1"/>
  <c r="X37" i="1"/>
  <c r="X28" i="1"/>
  <c r="X27" i="1"/>
  <c r="X26" i="1"/>
  <c r="X25" i="1"/>
  <c r="F42" i="1"/>
  <c r="C42" i="1"/>
  <c r="E45" i="1"/>
  <c r="X44" i="1"/>
  <c r="X41" i="1"/>
  <c r="X43" i="1"/>
  <c r="X42" i="1"/>
  <c r="C55" i="2"/>
  <c r="C53" i="1" l="1"/>
  <c r="C54" i="1" s="1"/>
  <c r="D54" i="1" s="1"/>
  <c r="X23" i="1"/>
  <c r="X22" i="1"/>
  <c r="X24" i="1"/>
  <c r="X21" i="1"/>
  <c r="X34" i="1"/>
  <c r="X36" i="1"/>
  <c r="X35" i="1"/>
  <c r="X33" i="1"/>
  <c r="F45" i="2"/>
  <c r="F49" i="2"/>
  <c r="F47" i="2"/>
  <c r="F46" i="2"/>
  <c r="F50" i="2"/>
  <c r="F48" i="2"/>
  <c r="G45" i="2"/>
  <c r="G46" i="2"/>
  <c r="G50" i="2"/>
  <c r="G47" i="2"/>
  <c r="G48" i="2"/>
  <c r="G49" i="2"/>
  <c r="C55" i="1" l="1"/>
  <c r="C58" i="2"/>
  <c r="C60" i="2" s="1"/>
  <c r="C62" i="2" s="1"/>
  <c r="C57" i="2"/>
  <c r="C59" i="2" s="1"/>
  <c r="C61" i="2" s="1"/>
  <c r="F48" i="1" l="1"/>
  <c r="F50" i="1"/>
  <c r="F46" i="1"/>
  <c r="F49" i="1"/>
  <c r="F45" i="1"/>
  <c r="F47" i="1"/>
  <c r="G47" i="1"/>
  <c r="G49" i="1"/>
  <c r="G46" i="1"/>
  <c r="G48" i="1"/>
  <c r="G50" i="1"/>
  <c r="G45" i="1"/>
  <c r="C58" i="1" l="1"/>
  <c r="C60" i="1" s="1"/>
  <c r="C62" i="1" s="1"/>
  <c r="C57" i="1"/>
  <c r="C59" i="1" s="1"/>
  <c r="C61" i="1" s="1"/>
</calcChain>
</file>

<file path=xl/sharedStrings.xml><?xml version="1.0" encoding="utf-8"?>
<sst xmlns="http://schemas.openxmlformats.org/spreadsheetml/2006/main" count="255" uniqueCount="71">
  <si>
    <t>Масса груза, г</t>
  </si>
  <si>
    <t>1 риска</t>
  </si>
  <si>
    <t>2 риска</t>
  </si>
  <si>
    <t>3 риска</t>
  </si>
  <si>
    <t>4 риска</t>
  </si>
  <si>
    <t>5 риска</t>
  </si>
  <si>
    <t>6 риска</t>
  </si>
  <si>
    <t>t ср, с</t>
  </si>
  <si>
    <t>a, м/с^2</t>
  </si>
  <si>
    <t>ε, рад/с^2</t>
  </si>
  <si>
    <t>M, Н*м</t>
  </si>
  <si>
    <t>h, м</t>
  </si>
  <si>
    <t>d, м</t>
  </si>
  <si>
    <t>g, м/с^2</t>
  </si>
  <si>
    <t>погр. Массы</t>
  </si>
  <si>
    <t>ε ср</t>
  </si>
  <si>
    <t>M ср</t>
  </si>
  <si>
    <t>I</t>
  </si>
  <si>
    <t>M тр</t>
  </si>
  <si>
    <t>относ Io</t>
  </si>
  <si>
    <t>относ m ут</t>
  </si>
  <si>
    <t>аб погр Io</t>
  </si>
  <si>
    <t>аб погр m ут</t>
  </si>
  <si>
    <t>Sа</t>
  </si>
  <si>
    <t>Sb</t>
  </si>
  <si>
    <t>D</t>
  </si>
  <si>
    <t>I 0 (a)</t>
  </si>
  <si>
    <t>4m ут (b)</t>
  </si>
  <si>
    <t>I ср</t>
  </si>
  <si>
    <t>R^2ср</t>
  </si>
  <si>
    <t>d</t>
  </si>
  <si>
    <t>I = Io + 4m ут R2</t>
  </si>
  <si>
    <t>I, кг*м^2</t>
  </si>
  <si>
    <t>R^2, м^2</t>
  </si>
  <si>
    <t>R, м</t>
  </si>
  <si>
    <t>Номер риски</t>
  </si>
  <si>
    <t>M4+</t>
  </si>
  <si>
    <t>ε4+</t>
  </si>
  <si>
    <t>M4-</t>
  </si>
  <si>
    <t>ε4-</t>
  </si>
  <si>
    <t>M3+</t>
  </si>
  <si>
    <t>ε3+</t>
  </si>
  <si>
    <t>M3-</t>
  </si>
  <si>
    <t>ε3-</t>
  </si>
  <si>
    <t>M2+</t>
  </si>
  <si>
    <t>ε2+</t>
  </si>
  <si>
    <t>M2-</t>
  </si>
  <si>
    <t>ε2-</t>
  </si>
  <si>
    <t>M1+</t>
  </si>
  <si>
    <t>ε1+</t>
  </si>
  <si>
    <t>M1-</t>
  </si>
  <si>
    <t>ε1-</t>
  </si>
  <si>
    <t>M4</t>
  </si>
  <si>
    <t>ε4</t>
  </si>
  <si>
    <t>a4</t>
  </si>
  <si>
    <t>M3</t>
  </si>
  <si>
    <t>ε3</t>
  </si>
  <si>
    <t>a3</t>
  </si>
  <si>
    <t>M2</t>
  </si>
  <si>
    <t>ε2</t>
  </si>
  <si>
    <t>a2</t>
  </si>
  <si>
    <t>M1</t>
  </si>
  <si>
    <t>ε1</t>
  </si>
  <si>
    <t>a1</t>
  </si>
  <si>
    <t>Относительные погрешности</t>
  </si>
  <si>
    <t>М = Мтр + Ie</t>
  </si>
  <si>
    <t>Абсолютные погрешности</t>
  </si>
  <si>
    <t>аб погр tср</t>
  </si>
  <si>
    <t>СКО (tср)</t>
  </si>
  <si>
    <t>Момент</t>
  </si>
  <si>
    <t>Уск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</si>
</sst>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0000000000"/>
    <numFmt numFmtId="165" formatCode="0.000000000000000"/>
    <numFmt numFmtId="166" formatCode="0.0000000000000000"/>
    <numFmt numFmtId="167" formatCode="0.00000000000000000"/>
    <numFmt numFmtId="168" formatCode="0.000000000000000000"/>
    <numFmt numFmtId="169" formatCode="0.000"/>
    <numFmt numFmtId="170" formatCode="0.000000000"/>
    <numFmt numFmtId="171" formatCode="0.0000000"/>
    <numFmt numFmtId="172" formatCode="0.000000"/>
  </numFmts>
  <fonts count="2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2" fontId="0" fillId="0" borderId="10" xfId="0" applyNumberFormat="1" applyBorder="1"/>
    <xf numFmtId="2" fontId="0" fillId="0" borderId="11" xfId="0" applyNumberFormat="1" applyBorder="1"/>
    <xf numFmtId="0" fontId="0" fillId="0" borderId="5" xfId="0" applyBorder="1"/>
    <xf numFmtId="0" fontId="0" fillId="0" borderId="9" xfId="0" applyBorder="1"/>
    <xf numFmtId="0" fontId="0" fillId="0" borderId="13" xfId="0" applyBorder="1"/>
    <xf numFmtId="0" fontId="0" fillId="0" borderId="17" xfId="0" applyBorder="1"/>
    <xf numFmtId="0" fontId="0" fillId="0" borderId="20" xfId="0" applyBorder="1"/>
    <xf numFmtId="0" fontId="0" fillId="0" borderId="22" xfId="0" applyBorder="1"/>
    <xf numFmtId="164" fontId="0" fillId="0" borderId="22" xfId="0" applyNumberFormat="1" applyBorder="1"/>
    <xf numFmtId="165" fontId="0" fillId="0" borderId="22" xfId="0" applyNumberFormat="1" applyBorder="1"/>
    <xf numFmtId="166" fontId="0" fillId="0" borderId="22" xfId="0" applyNumberFormat="1" applyBorder="1"/>
    <xf numFmtId="167" fontId="0" fillId="0" borderId="22" xfId="0" applyNumberFormat="1" applyBorder="1"/>
    <xf numFmtId="168" fontId="0" fillId="0" borderId="22" xfId="0" applyNumberFormat="1" applyBorder="1"/>
    <xf numFmtId="169" fontId="0" fillId="0" borderId="0" xfId="0" applyNumberFormat="1"/>
    <xf numFmtId="170" fontId="0" fillId="0" borderId="0" xfId="0" applyNumberFormat="1"/>
    <xf numFmtId="0" fontId="0" fillId="0" borderId="10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7" xfId="0" applyBorder="1" applyAlignment="1">
      <alignment vertical="center"/>
    </xf>
    <xf numFmtId="167" fontId="0" fillId="0" borderId="0" xfId="0" applyNumberFormat="1"/>
    <xf numFmtId="168" fontId="0" fillId="0" borderId="0" xfId="0" applyNumberFormat="1"/>
    <xf numFmtId="166" fontId="0" fillId="0" borderId="0" xfId="0" applyNumberFormat="1"/>
    <xf numFmtId="0" fontId="0" fillId="0" borderId="5" xfId="0" applyBorder="1" applyAlignment="1">
      <alignment vertical="center"/>
    </xf>
    <xf numFmtId="165" fontId="0" fillId="0" borderId="0" xfId="0" applyNumberFormat="1"/>
    <xf numFmtId="164" fontId="0" fillId="0" borderId="0" xfId="0" applyNumberFormat="1"/>
    <xf numFmtId="171" fontId="0" fillId="0" borderId="0" xfId="0" applyNumberFormat="1"/>
    <xf numFmtId="172" fontId="0" fillId="0" borderId="0" xfId="0" applyNumberFormat="1"/>
    <xf numFmtId="0" fontId="0" fillId="0" borderId="23" xfId="0" applyBorder="1"/>
    <xf numFmtId="172" fontId="0" fillId="0" borderId="22" xfId="0" applyNumberFormat="1" applyBorder="1"/>
    <xf numFmtId="171" fontId="0" fillId="0" borderId="22" xfId="0" applyNumberFormat="1" applyBorder="1"/>
    <xf numFmtId="0" fontId="0" fillId="0" borderId="19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170" fontId="0" fillId="0" borderId="22" xfId="0" applyNumberFormat="1" applyBorder="1"/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0" xfId="0" applyBorder="1"/>
    <xf numFmtId="0" fontId="0" fillId="0" borderId="29" xfId="0" applyBorder="1"/>
    <xf numFmtId="0" fontId="0" fillId="0" borderId="30" xfId="0" applyBorder="1"/>
    <xf numFmtId="0" fontId="1" fillId="0" borderId="1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Серега!$P$62</c:f>
              <c:strCache>
                <c:ptCount val="1"/>
                <c:pt idx="0">
                  <c:v>Уск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Серега!$P$63:$P$86</c:f>
              <c:numCache>
                <c:formatCode>General</c:formatCode>
                <c:ptCount val="24"/>
                <c:pt idx="0">
                  <c:v>2.7516214200000002</c:v>
                </c:pt>
                <c:pt idx="1">
                  <c:v>4.8481514710000004</c:v>
                </c:pt>
                <c:pt idx="2">
                  <c:v>6.3750447960000001</c:v>
                </c:pt>
                <c:pt idx="3">
                  <c:v>9.1209338100000004</c:v>
                </c:pt>
                <c:pt idx="4">
                  <c:v>2.7516214200000002</c:v>
                </c:pt>
                <c:pt idx="5">
                  <c:v>4.8481514710000004</c:v>
                </c:pt>
                <c:pt idx="6">
                  <c:v>6.3750447960000001</c:v>
                </c:pt>
                <c:pt idx="7">
                  <c:v>9.1209338100000004</c:v>
                </c:pt>
                <c:pt idx="8">
                  <c:v>1.4362770549999999</c:v>
                </c:pt>
                <c:pt idx="9">
                  <c:v>2.6864965939999998</c:v>
                </c:pt>
                <c:pt idx="10">
                  <c:v>3.7665877839999999</c:v>
                </c:pt>
                <c:pt idx="11">
                  <c:v>4.9594929480000003</c:v>
                </c:pt>
                <c:pt idx="12">
                  <c:v>1.120637688</c:v>
                </c:pt>
                <c:pt idx="13">
                  <c:v>2.0669687369999998</c:v>
                </c:pt>
                <c:pt idx="14">
                  <c:v>2.8030340040000001</c:v>
                </c:pt>
                <c:pt idx="15">
                  <c:v>3.875065073</c:v>
                </c:pt>
                <c:pt idx="16">
                  <c:v>0.89867059000000005</c:v>
                </c:pt>
                <c:pt idx="17">
                  <c:v>1.7685501260000001</c:v>
                </c:pt>
                <c:pt idx="18">
                  <c:v>2.3280483190000001</c:v>
                </c:pt>
                <c:pt idx="19">
                  <c:v>2.9402036090000001</c:v>
                </c:pt>
                <c:pt idx="20">
                  <c:v>0.68305584399999997</c:v>
                </c:pt>
                <c:pt idx="21">
                  <c:v>1.2625953029999999</c:v>
                </c:pt>
                <c:pt idx="22">
                  <c:v>1.803216758</c:v>
                </c:pt>
                <c:pt idx="23">
                  <c:v>2.3617988259999998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66-4E09-AA8E-5426781A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721808"/>
        <c:axId val="687711248"/>
      </c:scatterChart>
      <c:valAx>
        <c:axId val="68772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7711248"/>
        <c:crosses val="autoZero"/>
        <c:crossBetween val="midCat"/>
      </c:valAx>
      <c:valAx>
        <c:axId val="68771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772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Жаргал!$K$57:$K$62</c:f>
              <c:numCache>
                <c:formatCode>General</c:formatCode>
                <c:ptCount val="6"/>
                <c:pt idx="0">
                  <c:v>2.4031015992789201E-2</c:v>
                </c:pt>
                <c:pt idx="1">
                  <c:v>3.0959875567709804E-2</c:v>
                </c:pt>
                <c:pt idx="2">
                  <c:v>3.9823654464316759E-2</c:v>
                </c:pt>
                <c:pt idx="3">
                  <c:v>5.5220768984781073E-2</c:v>
                </c:pt>
                <c:pt idx="4">
                  <c:v>6.8657987674961896E-2</c:v>
                </c:pt>
                <c:pt idx="5">
                  <c:v>8.0787940856431414E-2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F51-4FA9-9FDE-4AEA7782502A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Жаргал!$L$56:$L$79</c:f>
              <c:numCache>
                <c:formatCode>General</c:formatCode>
                <c:ptCount val="24"/>
                <c:pt idx="0">
                  <c:v>2.7516214200000002</c:v>
                </c:pt>
                <c:pt idx="1">
                  <c:v>4.8481514710000004</c:v>
                </c:pt>
                <c:pt idx="2">
                  <c:v>6.3750447960000001</c:v>
                </c:pt>
                <c:pt idx="3">
                  <c:v>9.1209338100000004</c:v>
                </c:pt>
                <c:pt idx="4">
                  <c:v>1.961958466</c:v>
                </c:pt>
                <c:pt idx="5">
                  <c:v>3.5628647689999999</c:v>
                </c:pt>
                <c:pt idx="6">
                  <c:v>5.1041472900000002</c:v>
                </c:pt>
                <c:pt idx="7">
                  <c:v>6.8851435649999999</c:v>
                </c:pt>
                <c:pt idx="8">
                  <c:v>1.4362770549999999</c:v>
                </c:pt>
                <c:pt idx="9">
                  <c:v>2.6864965939999998</c:v>
                </c:pt>
                <c:pt idx="10">
                  <c:v>3.7665877839999999</c:v>
                </c:pt>
                <c:pt idx="11">
                  <c:v>4.9594929480000003</c:v>
                </c:pt>
                <c:pt idx="12">
                  <c:v>1.120637688</c:v>
                </c:pt>
                <c:pt idx="13">
                  <c:v>2.0669687369999998</c:v>
                </c:pt>
                <c:pt idx="14">
                  <c:v>2.8030340040000001</c:v>
                </c:pt>
                <c:pt idx="15">
                  <c:v>3.875065073</c:v>
                </c:pt>
                <c:pt idx="16">
                  <c:v>0.89867059000000005</c:v>
                </c:pt>
                <c:pt idx="17">
                  <c:v>1.7685501260000001</c:v>
                </c:pt>
                <c:pt idx="18">
                  <c:v>2.3280483190000001</c:v>
                </c:pt>
                <c:pt idx="19">
                  <c:v>2.9402036090000001</c:v>
                </c:pt>
                <c:pt idx="20">
                  <c:v>0.68305584399999997</c:v>
                </c:pt>
                <c:pt idx="21">
                  <c:v>1.2625953029999999</c:v>
                </c:pt>
                <c:pt idx="22">
                  <c:v>1.803216758</c:v>
                </c:pt>
                <c:pt idx="23">
                  <c:v>2.3617988259999998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51-4FA9-9FDE-4AEA77825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706928"/>
        <c:axId val="687723728"/>
      </c:scatterChart>
      <c:valAx>
        <c:axId val="68770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7723728"/>
        <c:crosses val="autoZero"/>
        <c:crossBetween val="midCat"/>
      </c:valAx>
      <c:valAx>
        <c:axId val="6877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770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252310</xdr:colOff>
      <xdr:row>66</xdr:row>
      <xdr:rowOff>135680</xdr:rowOff>
    </xdr:from>
    <xdr:to>
      <xdr:col>22</xdr:col>
      <xdr:colOff>502594</xdr:colOff>
      <xdr:row>80</xdr:row>
      <xdr:rowOff>112576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ABD41311-960F-DCA4-8A11-E094B8499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59170</xdr:colOff>
      <xdr:row>52</xdr:row>
      <xdr:rowOff>39109</xdr:rowOff>
    </xdr:from>
    <xdr:to>
      <xdr:col>20</xdr:col>
      <xdr:colOff>676852</xdr:colOff>
      <xdr:row>66</xdr:row>
      <xdr:rowOff>90775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0441EEC-8F95-CEF5-0AC3-DAC983670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88"/>
  <sheetViews>
    <sheetView tabSelected="1" topLeftCell="G13" zoomScale="70" zoomScaleNormal="70" workbookViewId="0">
      <selection activeCell="L32" sqref="L32:O39"/>
    </sheetView>
  </sheetViews>
  <sheetFormatPr defaultRowHeight="14.25" x14ac:dyDescent="0.45"/>
  <cols>
    <col min="2" max="2" width="12.33203125" bestFit="1" customWidth="1"/>
    <col min="3" max="3" width="20.33203125" bestFit="1" customWidth="1"/>
    <col min="4" max="4" width="20.796875" bestFit="1" customWidth="1"/>
    <col min="5" max="5" width="19.33203125" bestFit="1" customWidth="1"/>
    <col min="6" max="7" width="21.06640625" bestFit="1" customWidth="1"/>
    <col min="8" max="8" width="20.3984375" bestFit="1" customWidth="1"/>
    <col min="9" max="9" width="19.33203125" customWidth="1"/>
    <col min="11" max="11" width="12" bestFit="1" customWidth="1"/>
    <col min="12" max="12" width="7.19921875" customWidth="1"/>
    <col min="13" max="13" width="9.6640625" bestFit="1" customWidth="1"/>
    <col min="15" max="15" width="9.6640625" bestFit="1" customWidth="1"/>
    <col min="16" max="16" width="13.59765625" bestFit="1" customWidth="1"/>
    <col min="17" max="17" width="9.1328125" bestFit="1" customWidth="1"/>
    <col min="19" max="19" width="10.53125" customWidth="1"/>
    <col min="20" max="24" width="13.59765625" bestFit="1" customWidth="1"/>
  </cols>
  <sheetData>
    <row r="1" spans="2:16" ht="14.65" thickBot="1" x14ac:dyDescent="0.5"/>
    <row r="2" spans="2:16" ht="14.65" thickBot="1" x14ac:dyDescent="0.5">
      <c r="B2" s="1" t="s">
        <v>0</v>
      </c>
      <c r="C2" s="2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4" t="s">
        <v>6</v>
      </c>
      <c r="J2" t="s">
        <v>68</v>
      </c>
      <c r="K2" t="s">
        <v>67</v>
      </c>
      <c r="M2" t="s">
        <v>11</v>
      </c>
      <c r="N2" t="s">
        <v>12</v>
      </c>
      <c r="O2" t="s">
        <v>13</v>
      </c>
      <c r="P2" t="s">
        <v>14</v>
      </c>
    </row>
    <row r="3" spans="2:16" x14ac:dyDescent="0.45">
      <c r="B3" s="52">
        <v>267</v>
      </c>
      <c r="C3" s="5">
        <v>4.66</v>
      </c>
      <c r="D3" s="6">
        <v>5.71</v>
      </c>
      <c r="E3" s="6">
        <v>6.56</v>
      </c>
      <c r="F3" s="6">
        <v>7.35</v>
      </c>
      <c r="G3" s="6">
        <v>8.16</v>
      </c>
      <c r="H3" s="7">
        <v>9.76</v>
      </c>
      <c r="I3">
        <f>C3-$C$6</f>
        <v>-4.3333333333333002E-2</v>
      </c>
      <c r="J3">
        <f>SQRT(SUMSQ(I3:I5)/6)</f>
        <v>6.9841089465856418E-2</v>
      </c>
      <c r="K3">
        <f>J3*4.30265272991127</f>
        <v>0.3005019542502444</v>
      </c>
      <c r="M3">
        <v>0.7</v>
      </c>
      <c r="N3">
        <v>4.5999999999999999E-2</v>
      </c>
      <c r="O3">
        <v>9.81</v>
      </c>
      <c r="P3">
        <f>0.0005*SQRT(2)*2/3</f>
        <v>4.7140452079103175E-4</v>
      </c>
    </row>
    <row r="4" spans="2:16" x14ac:dyDescent="0.45">
      <c r="B4" s="53"/>
      <c r="C4" s="8">
        <v>4.6100000000000003</v>
      </c>
      <c r="D4" s="9">
        <v>5.47</v>
      </c>
      <c r="E4" s="9">
        <v>6.51</v>
      </c>
      <c r="F4" s="9">
        <v>7.38</v>
      </c>
      <c r="G4" s="9">
        <v>8.2100000000000009</v>
      </c>
      <c r="H4" s="10">
        <v>9.41</v>
      </c>
      <c r="I4">
        <f>C4-$C$6</f>
        <v>-9.3333333333332824E-2</v>
      </c>
    </row>
    <row r="5" spans="2:16" x14ac:dyDescent="0.45">
      <c r="B5" s="53"/>
      <c r="C5" s="8">
        <v>4.84</v>
      </c>
      <c r="D5" s="9">
        <v>5.53</v>
      </c>
      <c r="E5" s="9">
        <v>6.46</v>
      </c>
      <c r="F5" s="9">
        <v>7.38</v>
      </c>
      <c r="G5" s="9">
        <v>8.32</v>
      </c>
      <c r="H5" s="10">
        <v>9.15</v>
      </c>
      <c r="I5">
        <f>C5-$C$6</f>
        <v>0.13666666666666671</v>
      </c>
    </row>
    <row r="6" spans="2:16" ht="14.65" thickBot="1" x14ac:dyDescent="0.5">
      <c r="B6" s="54"/>
      <c r="C6" s="11">
        <f>AVERAGE(C3:C5)</f>
        <v>4.7033333333333331</v>
      </c>
      <c r="D6" s="12">
        <f t="shared" ref="D6:H6" si="0">AVERAGE(D3:D5)</f>
        <v>5.57</v>
      </c>
      <c r="E6" s="12">
        <f t="shared" si="0"/>
        <v>6.5100000000000007</v>
      </c>
      <c r="F6" s="12">
        <f t="shared" si="0"/>
        <v>7.37</v>
      </c>
      <c r="G6" s="12">
        <f t="shared" si="0"/>
        <v>8.23</v>
      </c>
      <c r="H6" s="13">
        <f t="shared" si="0"/>
        <v>9.44</v>
      </c>
    </row>
    <row r="7" spans="2:16" x14ac:dyDescent="0.45">
      <c r="B7" s="55">
        <v>487</v>
      </c>
      <c r="C7" s="5">
        <v>3.61</v>
      </c>
      <c r="D7" s="6">
        <v>4.1100000000000003</v>
      </c>
      <c r="E7" s="6">
        <v>4.71</v>
      </c>
      <c r="F7" s="6">
        <v>5.43</v>
      </c>
      <c r="G7" s="6">
        <v>6.21</v>
      </c>
      <c r="H7" s="7">
        <v>6.91</v>
      </c>
    </row>
    <row r="8" spans="2:16" x14ac:dyDescent="0.45">
      <c r="B8" s="53"/>
      <c r="C8" s="8">
        <v>3.45</v>
      </c>
      <c r="D8" s="9">
        <v>4.08</v>
      </c>
      <c r="E8" s="9">
        <v>4.8899999999999997</v>
      </c>
      <c r="F8" s="9">
        <v>5.46</v>
      </c>
      <c r="G8" s="9">
        <v>5.21</v>
      </c>
      <c r="H8" s="10">
        <v>6.96</v>
      </c>
    </row>
    <row r="9" spans="2:16" x14ac:dyDescent="0.45">
      <c r="B9" s="53"/>
      <c r="C9" s="8">
        <v>3.57</v>
      </c>
      <c r="D9" s="9">
        <v>4.21</v>
      </c>
      <c r="E9" s="9">
        <v>4.68</v>
      </c>
      <c r="F9" s="9">
        <v>5.39</v>
      </c>
      <c r="G9" s="9">
        <v>6.18</v>
      </c>
      <c r="H9" s="10">
        <v>6.96</v>
      </c>
    </row>
    <row r="10" spans="2:16" ht="14.65" thickBot="1" x14ac:dyDescent="0.5">
      <c r="B10" s="54"/>
      <c r="C10" s="11">
        <f>AVERAGE(C7:C9)</f>
        <v>3.5433333333333334</v>
      </c>
      <c r="D10" s="12">
        <f t="shared" ref="D10:H10" si="1">AVERAGE(D7:D9)</f>
        <v>4.1333333333333337</v>
      </c>
      <c r="E10" s="12">
        <f t="shared" si="1"/>
        <v>4.76</v>
      </c>
      <c r="F10" s="12">
        <f t="shared" si="1"/>
        <v>5.4266666666666667</v>
      </c>
      <c r="G10" s="12">
        <f t="shared" si="1"/>
        <v>5.8666666666666671</v>
      </c>
      <c r="H10" s="13">
        <f t="shared" si="1"/>
        <v>6.9433333333333342</v>
      </c>
    </row>
    <row r="11" spans="2:16" x14ac:dyDescent="0.45">
      <c r="B11" s="55">
        <v>707</v>
      </c>
      <c r="C11" s="5">
        <v>2.88</v>
      </c>
      <c r="D11" s="6">
        <v>3.47</v>
      </c>
      <c r="E11" s="6">
        <v>4.0199999999999996</v>
      </c>
      <c r="F11" s="6">
        <v>4.63</v>
      </c>
      <c r="G11" s="6">
        <v>5.08</v>
      </c>
      <c r="H11" s="7">
        <v>5.83</v>
      </c>
    </row>
    <row r="12" spans="2:16" x14ac:dyDescent="0.45">
      <c r="B12" s="53"/>
      <c r="C12" s="8">
        <v>2.82</v>
      </c>
      <c r="D12" s="9">
        <v>3.37</v>
      </c>
      <c r="E12" s="9">
        <v>4.1100000000000003</v>
      </c>
      <c r="F12" s="9">
        <v>4.6500000000000004</v>
      </c>
      <c r="G12" s="9">
        <v>5.0999999999999996</v>
      </c>
      <c r="H12" s="10">
        <v>5.78</v>
      </c>
    </row>
    <row r="13" spans="2:16" x14ac:dyDescent="0.45">
      <c r="B13" s="53"/>
      <c r="C13" s="8">
        <v>3.57</v>
      </c>
      <c r="D13" s="9">
        <v>3.52</v>
      </c>
      <c r="E13" s="9">
        <v>3.93</v>
      </c>
      <c r="F13" s="9">
        <v>4.7</v>
      </c>
      <c r="G13" s="9">
        <v>5.16</v>
      </c>
      <c r="H13" s="10">
        <v>5.82</v>
      </c>
    </row>
    <row r="14" spans="2:16" ht="14.65" thickBot="1" x14ac:dyDescent="0.5">
      <c r="B14" s="54"/>
      <c r="C14" s="11">
        <f>AVERAGE(C11:C13)</f>
        <v>3.09</v>
      </c>
      <c r="D14" s="12">
        <f t="shared" ref="D14:H14" si="2">AVERAGE(D11:D13)</f>
        <v>3.4533333333333331</v>
      </c>
      <c r="E14" s="12">
        <f t="shared" si="2"/>
        <v>4.0199999999999996</v>
      </c>
      <c r="F14" s="12">
        <f t="shared" si="2"/>
        <v>4.66</v>
      </c>
      <c r="G14" s="12">
        <f t="shared" si="2"/>
        <v>5.1133333333333333</v>
      </c>
      <c r="H14" s="13">
        <f t="shared" si="2"/>
        <v>5.81</v>
      </c>
    </row>
    <row r="15" spans="2:16" x14ac:dyDescent="0.45">
      <c r="B15" s="55">
        <v>927</v>
      </c>
      <c r="C15" s="5">
        <v>2.59</v>
      </c>
      <c r="D15" s="6">
        <v>3.01</v>
      </c>
      <c r="E15" s="6">
        <v>3.58</v>
      </c>
      <c r="F15" s="14">
        <v>3.96</v>
      </c>
      <c r="G15" s="14">
        <v>4.59</v>
      </c>
      <c r="H15" s="7">
        <v>5.14</v>
      </c>
    </row>
    <row r="16" spans="2:16" x14ac:dyDescent="0.45">
      <c r="B16" s="53"/>
      <c r="C16" s="17">
        <v>2.6</v>
      </c>
      <c r="D16" s="18">
        <v>3</v>
      </c>
      <c r="E16" s="9">
        <v>3.45</v>
      </c>
      <c r="F16" s="15">
        <v>4</v>
      </c>
      <c r="G16" s="15">
        <v>4.5199999999999996</v>
      </c>
      <c r="H16" s="10">
        <v>5.0599999999999996</v>
      </c>
    </row>
    <row r="17" spans="2:24" x14ac:dyDescent="0.45">
      <c r="B17" s="53"/>
      <c r="C17" s="8">
        <v>2.56</v>
      </c>
      <c r="D17" s="9">
        <v>2.91</v>
      </c>
      <c r="E17" s="9">
        <v>3.48</v>
      </c>
      <c r="F17" s="15">
        <v>3.93</v>
      </c>
      <c r="G17" s="15">
        <v>4.54</v>
      </c>
      <c r="H17" s="10">
        <v>5.03</v>
      </c>
    </row>
    <row r="18" spans="2:24" ht="14.65" thickBot="1" x14ac:dyDescent="0.5">
      <c r="B18" s="56"/>
      <c r="C18" s="11">
        <f>AVERAGE(C15:C17)</f>
        <v>2.5833333333333335</v>
      </c>
      <c r="D18" s="12">
        <f t="shared" ref="D18:H18" si="3">AVERAGE(D15:D17)</f>
        <v>2.9733333333333332</v>
      </c>
      <c r="E18" s="12">
        <f t="shared" si="3"/>
        <v>3.5033333333333334</v>
      </c>
      <c r="F18" s="16">
        <f t="shared" si="3"/>
        <v>3.9633333333333334</v>
      </c>
      <c r="G18" s="16">
        <f t="shared" si="3"/>
        <v>4.55</v>
      </c>
      <c r="H18" s="13">
        <f t="shared" si="3"/>
        <v>5.0766666666666671</v>
      </c>
    </row>
    <row r="19" spans="2:24" ht="14.65" thickBot="1" x14ac:dyDescent="0.5"/>
    <row r="20" spans="2:24" ht="14.65" thickBot="1" x14ac:dyDescent="0.5">
      <c r="B20" s="1"/>
      <c r="C20" s="2" t="s">
        <v>1</v>
      </c>
      <c r="D20" s="3" t="s">
        <v>2</v>
      </c>
      <c r="E20" s="3" t="s">
        <v>3</v>
      </c>
      <c r="F20" s="3" t="s">
        <v>4</v>
      </c>
      <c r="G20" s="3" t="s">
        <v>5</v>
      </c>
      <c r="H20" s="4" t="s">
        <v>6</v>
      </c>
      <c r="J20" s="51" t="s">
        <v>66</v>
      </c>
      <c r="K20" s="51"/>
      <c r="L20" s="51"/>
      <c r="M20" s="51"/>
      <c r="N20" s="51"/>
      <c r="O20" s="51"/>
      <c r="S20" s="24"/>
      <c r="T20" s="24" t="s">
        <v>7</v>
      </c>
      <c r="U20" s="24" t="s">
        <v>8</v>
      </c>
      <c r="V20" s="24" t="s">
        <v>9</v>
      </c>
      <c r="W20" s="24" t="s">
        <v>10</v>
      </c>
      <c r="X20" s="24" t="s">
        <v>65</v>
      </c>
    </row>
    <row r="21" spans="2:24" x14ac:dyDescent="0.45">
      <c r="B21" s="19" t="s">
        <v>7</v>
      </c>
      <c r="C21" s="5">
        <f>C6</f>
        <v>4.7033333333333331</v>
      </c>
      <c r="D21" s="6">
        <f>D6</f>
        <v>5.57</v>
      </c>
      <c r="E21" s="6">
        <f>E6</f>
        <v>6.5100000000000007</v>
      </c>
      <c r="F21" s="6">
        <f>F6</f>
        <v>7.37</v>
      </c>
      <c r="G21" s="6">
        <f>G6</f>
        <v>8.23</v>
      </c>
      <c r="H21" s="7">
        <f>H6</f>
        <v>9.44</v>
      </c>
      <c r="J21" s="24" t="s">
        <v>63</v>
      </c>
      <c r="K21" s="45">
        <f>$M$3*$K$3/C21^3</f>
        <v>2.0217528481632449E-3</v>
      </c>
      <c r="L21" s="45" t="s">
        <v>62</v>
      </c>
      <c r="M21" s="45">
        <f>SQRT((2*K21/$N$3)^2+(2*C22*0.0005*2/3/$N$3^2)^2)</f>
        <v>9.0135392945551659E-2</v>
      </c>
      <c r="N21" s="45" t="s">
        <v>61</v>
      </c>
      <c r="O21" s="45">
        <f>SQRT(($N$3*($O$3-U21)/2*2/3*0.0005*SQRT(2))^2 + (R21/1000*($O$3-U21)/2*2/3*0.0005)^2 + (R21/1000*$N$3/2*K21)^2)</f>
        <v>4.4658967303402169E-4</v>
      </c>
      <c r="R21" s="47">
        <v>267</v>
      </c>
      <c r="S21" s="50" t="s">
        <v>1</v>
      </c>
      <c r="T21" s="44">
        <f>C21</f>
        <v>4.7033333333333331</v>
      </c>
      <c r="U21" s="24">
        <f t="shared" ref="U21:U44" si="4">2*$M$3/T21^2</f>
        <v>6.3287292665053008E-2</v>
      </c>
      <c r="V21" s="24">
        <f t="shared" ref="V21:V44" si="5">2*U21/$N$3</f>
        <v>2.751621420219696</v>
      </c>
      <c r="W21" s="24">
        <f t="shared" ref="W21:W44" si="6">R21*$N$3*($O$3-U21)/2000</f>
        <v>5.9854562735743903E-2</v>
      </c>
      <c r="X21" s="24">
        <f>$C$42+$C$41*V21</f>
        <v>6.2741652279230037E-2</v>
      </c>
    </row>
    <row r="22" spans="2:24" x14ac:dyDescent="0.45">
      <c r="B22" s="20" t="s">
        <v>8</v>
      </c>
      <c r="C22" s="8">
        <f>2*$M$3/C21^2</f>
        <v>6.3287292665053008E-2</v>
      </c>
      <c r="D22" s="9">
        <f>2*$M$3/D21^2</f>
        <v>4.5125044722142529E-2</v>
      </c>
      <c r="E22" s="9">
        <f>2*$M$3/E21^2</f>
        <v>3.3034372264341041E-2</v>
      </c>
      <c r="F22" s="9">
        <f>2*$M$3/F21^2</f>
        <v>2.5774666816405202E-2</v>
      </c>
      <c r="G22" s="9">
        <f>2*$M$3/G21^2</f>
        <v>2.066942357406814E-2</v>
      </c>
      <c r="H22" s="10">
        <f>2*$M$3/H21^2</f>
        <v>1.5710284401034186E-2</v>
      </c>
      <c r="J22" s="24" t="s">
        <v>60</v>
      </c>
      <c r="K22" s="45">
        <f>$M$3*$K$3/C25^3</f>
        <v>4.7283466799904802E-3</v>
      </c>
      <c r="L22" s="45" t="s">
        <v>59</v>
      </c>
      <c r="M22" s="45">
        <f>SQRT((2*K22/$N$3)^2+(2*C26*0.0005*2/3/$N$3^2)^2)</f>
        <v>0.20856049574107677</v>
      </c>
      <c r="N22" s="45" t="s">
        <v>58</v>
      </c>
      <c r="O22" s="45">
        <f>SQRT(($N$3*($O$3-U22)/2*2/3*0.0005*SQRT(2))^2 + (R22/1000*($O$3-U22)/2*2/3*0.0005)^2 + (R22/1000*$N$3/2*K22)^2)</f>
        <v>7.9595052663386815E-4</v>
      </c>
      <c r="R22" s="46">
        <v>487</v>
      </c>
      <c r="S22" s="50"/>
      <c r="T22" s="24">
        <f>C10</f>
        <v>3.5433333333333334</v>
      </c>
      <c r="U22" s="24">
        <f t="shared" si="4"/>
        <v>0.11150748383362728</v>
      </c>
      <c r="V22" s="24">
        <f t="shared" si="5"/>
        <v>4.8481514710272728</v>
      </c>
      <c r="W22" s="24">
        <f t="shared" si="6"/>
        <v>0.10863281467357956</v>
      </c>
      <c r="X22" s="24">
        <f>$C$42+$C$41*V22</f>
        <v>0.11118556281652237</v>
      </c>
    </row>
    <row r="23" spans="2:24" x14ac:dyDescent="0.45">
      <c r="B23" s="20" t="s">
        <v>9</v>
      </c>
      <c r="C23" s="8">
        <f>2*C22/$N$3</f>
        <v>2.751621420219696</v>
      </c>
      <c r="D23" s="9">
        <f>2*D22/$N$3</f>
        <v>1.9619584661801099</v>
      </c>
      <c r="E23" s="9">
        <f>2*E22/$N$3</f>
        <v>1.4362770549713497</v>
      </c>
      <c r="F23" s="9">
        <f>2*F22/$N$3</f>
        <v>1.1206376876697914</v>
      </c>
      <c r="G23" s="9">
        <f>2*G22/$N$3</f>
        <v>0.89867059017687567</v>
      </c>
      <c r="H23" s="10">
        <f>2*H22/$N$3</f>
        <v>0.68305584352322546</v>
      </c>
      <c r="J23" s="24" t="s">
        <v>57</v>
      </c>
      <c r="K23" s="45">
        <f>$M$3*$K$3/C29^3</f>
        <v>7.1296777754075976E-3</v>
      </c>
      <c r="L23" s="45" t="s">
        <v>56</v>
      </c>
      <c r="M23" s="45">
        <f>SQRT((2*K23/$N$3)^2+(2*C30*0.0005*2/3/$N$3^2)^2)</f>
        <v>0.31340928897049652</v>
      </c>
      <c r="N23" s="45" t="s">
        <v>55</v>
      </c>
      <c r="O23" s="45">
        <f>SQRT(($N$3*($O$3-U23)/2*2/3*0.0005*SQRT(2))^2 + (R23/1000*($O$3-U23)/2*2/3*0.0005)^2 + (R23/1000*$N$3/2*K23)^2)</f>
        <v>1.1493399591817974E-3</v>
      </c>
      <c r="R23" s="46">
        <v>707</v>
      </c>
      <c r="S23" s="50"/>
      <c r="T23" s="24">
        <f>C14</f>
        <v>3.09</v>
      </c>
      <c r="U23" s="24">
        <f t="shared" si="4"/>
        <v>0.14662603030969512</v>
      </c>
      <c r="V23" s="24">
        <f t="shared" si="5"/>
        <v>6.3750447960737011</v>
      </c>
      <c r="W23" s="24">
        <f t="shared" si="6"/>
        <v>0.15713612412113404</v>
      </c>
      <c r="X23" s="24">
        <f>$C$42+$C$41*V23</f>
        <v>0.14646704309391953</v>
      </c>
    </row>
    <row r="24" spans="2:24" ht="14.65" thickBot="1" x14ac:dyDescent="0.5">
      <c r="B24" s="21" t="s">
        <v>10</v>
      </c>
      <c r="C24" s="11">
        <f>$B$3*$N$3*($O$3-C22)/2/1000</f>
        <v>5.9854562735743903E-2</v>
      </c>
      <c r="D24" s="11">
        <f>$B$3*$N$3*($O$3-D22)/2/1000</f>
        <v>5.9966097100361326E-2</v>
      </c>
      <c r="E24" s="11">
        <f>$B$3*$N$3*($O$3-E22)/2/1000</f>
        <v>6.004034591992468E-2</v>
      </c>
      <c r="F24" s="11">
        <f>$B$3*$N$3*($O$3-F22)/2/1000</f>
        <v>6.008492777108046E-2</v>
      </c>
      <c r="G24" s="11">
        <f>$B$3*$N$3*($O$3-G22)/2/1000</f>
        <v>6.0116279069831649E-2</v>
      </c>
      <c r="H24" s="23">
        <f>$B$3*$N$3*($O$3-H22)/2/1000</f>
        <v>6.0146733143493253E-2</v>
      </c>
      <c r="J24" s="24" t="s">
        <v>54</v>
      </c>
      <c r="K24" s="45">
        <f>$M$3*$K$3/C33^3</f>
        <v>1.2201240772753369E-2</v>
      </c>
      <c r="L24" s="45" t="s">
        <v>53</v>
      </c>
      <c r="M24" s="45">
        <f>SQRT((2*K24/$N$3)^2+(2*C34*0.0005*2/3/$N$3^2)^2)</f>
        <v>0.53459019081518344</v>
      </c>
      <c r="N24" s="45" t="s">
        <v>52</v>
      </c>
      <c r="O24" s="45">
        <f>SQRT(($N$3*($O$3-U24)/2*2/3*0.0005*SQRT(2))^2 + (R24/1000*($O$3-U24)/2*2/3*0.0005)^2 + (R24/1000*$N$3/2*K24)^2)</f>
        <v>1.509467126435658E-3</v>
      </c>
      <c r="R24" s="46">
        <v>927</v>
      </c>
      <c r="S24" s="50"/>
      <c r="T24" s="24">
        <f>C18</f>
        <v>2.5833333333333335</v>
      </c>
      <c r="U24" s="24">
        <f t="shared" si="4"/>
        <v>0.20978147762747135</v>
      </c>
      <c r="V24" s="24">
        <f t="shared" si="5"/>
        <v>9.1209338098900581</v>
      </c>
      <c r="W24" s="24">
        <f t="shared" si="6"/>
        <v>0.20468625911550467</v>
      </c>
      <c r="X24" s="24">
        <f>$C$42+$C$41*V24</f>
        <v>0.20991550245629023</v>
      </c>
    </row>
    <row r="25" spans="2:24" x14ac:dyDescent="0.45">
      <c r="B25" s="22" t="s">
        <v>7</v>
      </c>
      <c r="C25" s="5">
        <f>C10</f>
        <v>3.5433333333333334</v>
      </c>
      <c r="D25" s="6">
        <f>D10</f>
        <v>4.1333333333333337</v>
      </c>
      <c r="E25" s="6">
        <f>E10</f>
        <v>4.76</v>
      </c>
      <c r="F25" s="6">
        <f>F10</f>
        <v>5.4266666666666667</v>
      </c>
      <c r="G25" s="6">
        <f>G10</f>
        <v>5.8666666666666671</v>
      </c>
      <c r="H25" s="7">
        <f>H10</f>
        <v>6.9433333333333342</v>
      </c>
      <c r="J25" s="24"/>
      <c r="K25" s="24"/>
      <c r="L25" s="24"/>
      <c r="M25" s="24"/>
      <c r="N25" s="24"/>
      <c r="O25" s="24"/>
      <c r="R25" s="47">
        <v>267</v>
      </c>
      <c r="S25" s="50" t="s">
        <v>2</v>
      </c>
      <c r="T25" s="24">
        <f>D6</f>
        <v>5.57</v>
      </c>
      <c r="U25" s="24">
        <f t="shared" si="4"/>
        <v>4.5125044722142529E-2</v>
      </c>
      <c r="V25" s="24">
        <f t="shared" si="5"/>
        <v>1.9619584661801099</v>
      </c>
      <c r="W25" s="24">
        <f t="shared" si="6"/>
        <v>5.9966097100361326E-2</v>
      </c>
      <c r="X25" s="24">
        <f>$D$42+$D$41*V25</f>
        <v>6.1137361912143619E-2</v>
      </c>
    </row>
    <row r="26" spans="2:24" x14ac:dyDescent="0.45">
      <c r="B26" s="20" t="s">
        <v>8</v>
      </c>
      <c r="C26" s="8">
        <f>2*$M$3/C25^2</f>
        <v>0.11150748383362728</v>
      </c>
      <c r="D26" s="9">
        <f>2*$M$3/D25^2</f>
        <v>8.1945889698230995E-2</v>
      </c>
      <c r="E26" s="9">
        <f>2*$M$3/E25^2</f>
        <v>6.1789421651013345E-2</v>
      </c>
      <c r="F26" s="9">
        <f>2*$M$3/F25^2</f>
        <v>4.7540280955514366E-2</v>
      </c>
      <c r="G26" s="9">
        <f>2*$M$3/G25^2</f>
        <v>4.0676652892561969E-2</v>
      </c>
      <c r="H26" s="10">
        <f>2*$M$3/H25^2</f>
        <v>2.9039691958010438E-2</v>
      </c>
      <c r="J26" s="51" t="s">
        <v>64</v>
      </c>
      <c r="K26" s="51"/>
      <c r="L26" s="51"/>
      <c r="M26" s="51"/>
      <c r="N26" s="51"/>
      <c r="O26" s="51"/>
      <c r="R26" s="46">
        <v>487</v>
      </c>
      <c r="S26" s="50"/>
      <c r="T26" s="24">
        <f>D10</f>
        <v>4.1333333333333337</v>
      </c>
      <c r="U26" s="24">
        <f t="shared" si="4"/>
        <v>8.1945889698230995E-2</v>
      </c>
      <c r="V26" s="24">
        <f t="shared" si="5"/>
        <v>3.562864769488304</v>
      </c>
      <c r="W26" s="24">
        <f t="shared" si="6"/>
        <v>0.10896393408949012</v>
      </c>
      <c r="X26" s="24">
        <f>$D$42+$D$41*V26</f>
        <v>0.10879791882107163</v>
      </c>
    </row>
    <row r="27" spans="2:24" x14ac:dyDescent="0.45">
      <c r="B27" s="20" t="s">
        <v>9</v>
      </c>
      <c r="C27" s="8">
        <f>2*C26/$N$3</f>
        <v>4.8481514710272728</v>
      </c>
      <c r="D27" s="9">
        <f>2*D26/$N$3</f>
        <v>3.562864769488304</v>
      </c>
      <c r="E27" s="9">
        <f>2*E26/$N$3</f>
        <v>2.6864965935223193</v>
      </c>
      <c r="F27" s="9">
        <f>2*F26/$N$3</f>
        <v>2.0669687371962771</v>
      </c>
      <c r="G27" s="9">
        <f>2*G26/$N$3</f>
        <v>1.7685501257635639</v>
      </c>
      <c r="H27" s="10">
        <f>2*H26/$N$3</f>
        <v>1.262595302522193</v>
      </c>
      <c r="J27" s="24" t="s">
        <v>63</v>
      </c>
      <c r="K27" s="45">
        <f>K21/U21</f>
        <v>3.1945636525539806E-2</v>
      </c>
      <c r="L27" s="45" t="s">
        <v>62</v>
      </c>
      <c r="M27" s="45">
        <f>M21/V21</f>
        <v>3.2757192644021153E-2</v>
      </c>
      <c r="N27" s="45" t="s">
        <v>61</v>
      </c>
      <c r="O27" s="45">
        <f>O21/W21</f>
        <v>7.461246939614306E-3</v>
      </c>
      <c r="R27" s="46">
        <v>707</v>
      </c>
      <c r="S27" s="50"/>
      <c r="T27" s="24">
        <f>D14</f>
        <v>3.4533333333333331</v>
      </c>
      <c r="U27" s="24">
        <f t="shared" si="4"/>
        <v>0.11739538766565794</v>
      </c>
      <c r="V27" s="24">
        <f t="shared" si="5"/>
        <v>5.1041472898112143</v>
      </c>
      <c r="W27" s="24">
        <f t="shared" si="6"/>
        <v>0.15761144360116874</v>
      </c>
      <c r="X27" s="24">
        <f>$D$42+$D$41*V27</f>
        <v>0.15468341700468671</v>
      </c>
    </row>
    <row r="28" spans="2:24" ht="14.65" thickBot="1" x14ac:dyDescent="0.5">
      <c r="B28" s="21" t="s">
        <v>10</v>
      </c>
      <c r="C28" s="11">
        <f>$B$7*$N$3*($O$3-C26)/2000</f>
        <v>0.10863281467357956</v>
      </c>
      <c r="D28" s="11">
        <f>$B$7*$N$3*($O$3-D26)/2000</f>
        <v>0.10896393408949012</v>
      </c>
      <c r="E28" s="11">
        <f>$B$7*$N$3*($O$3-E26)/2000</f>
        <v>0.109189706688087</v>
      </c>
      <c r="F28" s="11">
        <f>$B$7*$N$3*($O$3-F26)/2000</f>
        <v>0.1093493113130173</v>
      </c>
      <c r="G28" s="11">
        <f>$B$7*$N$3*($O$3-G26)/2000</f>
        <v>0.10942619081095041</v>
      </c>
      <c r="H28" s="23">
        <f>$B$7*$N$3*($O$3-H26)/2000</f>
        <v>0.10955653641037834</v>
      </c>
      <c r="J28" s="24" t="s">
        <v>60</v>
      </c>
      <c r="K28" s="45">
        <f>K22/U22</f>
        <v>4.2403850552715582E-2</v>
      </c>
      <c r="L28" s="45" t="s">
        <v>59</v>
      </c>
      <c r="M28" s="45">
        <f>M22/V22</f>
        <v>4.3018560164104151E-2</v>
      </c>
      <c r="N28" s="45" t="s">
        <v>58</v>
      </c>
      <c r="O28" s="45">
        <f>O22/W22</f>
        <v>7.3269806091791363E-3</v>
      </c>
      <c r="R28" s="46">
        <v>927</v>
      </c>
      <c r="S28" s="50"/>
      <c r="T28" s="24">
        <f>D18</f>
        <v>2.9733333333333332</v>
      </c>
      <c r="U28" s="24">
        <f t="shared" si="4"/>
        <v>0.1583583019968228</v>
      </c>
      <c r="V28" s="24">
        <f t="shared" si="5"/>
        <v>6.8851435650792521</v>
      </c>
      <c r="W28" s="24">
        <f t="shared" si="6"/>
        <v>0.20578265264312573</v>
      </c>
      <c r="X28" s="24">
        <f>$D$42+$D$41*V28</f>
        <v>0.207705429696244</v>
      </c>
    </row>
    <row r="29" spans="2:24" x14ac:dyDescent="0.45">
      <c r="B29" s="22" t="s">
        <v>7</v>
      </c>
      <c r="C29" s="5">
        <f>C14</f>
        <v>3.09</v>
      </c>
      <c r="D29" s="6">
        <f>D14</f>
        <v>3.4533333333333331</v>
      </c>
      <c r="E29" s="6">
        <f>E14</f>
        <v>4.0199999999999996</v>
      </c>
      <c r="F29" s="6">
        <f>F14</f>
        <v>4.66</v>
      </c>
      <c r="G29" s="6">
        <f>G14</f>
        <v>5.1133333333333333</v>
      </c>
      <c r="H29" s="7">
        <f>H14</f>
        <v>5.81</v>
      </c>
      <c r="J29" s="24" t="s">
        <v>57</v>
      </c>
      <c r="K29" s="45">
        <f>K23/U23</f>
        <v>4.8624911690978059E-2</v>
      </c>
      <c r="L29" s="45" t="s">
        <v>56</v>
      </c>
      <c r="M29" s="45">
        <f>M23/V23</f>
        <v>4.9161895954601104E-2</v>
      </c>
      <c r="N29" s="45" t="s">
        <v>55</v>
      </c>
      <c r="O29" s="45">
        <f>O23/W23</f>
        <v>7.3142949503819206E-3</v>
      </c>
      <c r="R29" s="47">
        <v>267</v>
      </c>
      <c r="S29" s="50" t="s">
        <v>3</v>
      </c>
      <c r="T29" s="24">
        <f>E6</f>
        <v>6.5100000000000007</v>
      </c>
      <c r="U29" s="24">
        <f t="shared" si="4"/>
        <v>3.3034372264341041E-2</v>
      </c>
      <c r="V29" s="24">
        <f t="shared" si="5"/>
        <v>1.4362770549713497</v>
      </c>
      <c r="W29" s="24">
        <f t="shared" si="6"/>
        <v>6.004034591992468E-2</v>
      </c>
      <c r="X29" s="24">
        <f>$E$42+$E$41*V29</f>
        <v>5.9025920527794193E-2</v>
      </c>
    </row>
    <row r="30" spans="2:24" x14ac:dyDescent="0.45">
      <c r="B30" s="20" t="s">
        <v>8</v>
      </c>
      <c r="C30" s="8">
        <f>2*$M$3/C29^2</f>
        <v>0.14662603030969512</v>
      </c>
      <c r="D30" s="9">
        <f>2*$M$3/D29^2</f>
        <v>0.11739538766565794</v>
      </c>
      <c r="E30" s="9">
        <f>2*$M$3/E29^2</f>
        <v>8.6631519021806408E-2</v>
      </c>
      <c r="F30" s="9">
        <f>2*$M$3/F29^2</f>
        <v>6.4469782092136524E-2</v>
      </c>
      <c r="G30" s="9">
        <f>2*$M$3/G29^2</f>
        <v>5.3545111331335452E-2</v>
      </c>
      <c r="H30" s="10">
        <f>2*$M$3/H29^2</f>
        <v>4.147398544263111E-2</v>
      </c>
      <c r="J30" s="24" t="s">
        <v>54</v>
      </c>
      <c r="K30" s="45">
        <f>K24/U24</f>
        <v>5.8161668564563437E-2</v>
      </c>
      <c r="L30" s="45" t="s">
        <v>53</v>
      </c>
      <c r="M30" s="45">
        <f>M24/V24</f>
        <v>5.8611344184464294E-2</v>
      </c>
      <c r="N30" s="45" t="s">
        <v>52</v>
      </c>
      <c r="O30" s="45">
        <f>O24/W24</f>
        <v>7.3745405918228448E-3</v>
      </c>
      <c r="R30" s="46">
        <v>487</v>
      </c>
      <c r="S30" s="50"/>
      <c r="T30" s="24">
        <f>E10</f>
        <v>4.76</v>
      </c>
      <c r="U30" s="24">
        <f t="shared" si="4"/>
        <v>6.1789421651013345E-2</v>
      </c>
      <c r="V30" s="24">
        <f t="shared" si="5"/>
        <v>2.6864965935223193</v>
      </c>
      <c r="W30" s="24">
        <f t="shared" si="6"/>
        <v>0.109189706688087</v>
      </c>
      <c r="X30" s="24">
        <f>$E$42+$E$41*V30</f>
        <v>0.11146609601324702</v>
      </c>
    </row>
    <row r="31" spans="2:24" x14ac:dyDescent="0.45">
      <c r="B31" s="20" t="s">
        <v>9</v>
      </c>
      <c r="C31" s="8">
        <f>2*C30/$N$3</f>
        <v>6.3750447960737011</v>
      </c>
      <c r="D31" s="9">
        <f>2*D30/$N$3</f>
        <v>5.1041472898112143</v>
      </c>
      <c r="E31" s="9">
        <f>2*E30/$N$3</f>
        <v>3.7665877835568002</v>
      </c>
      <c r="F31" s="9">
        <f>2*F30/$N$3</f>
        <v>2.8030340040059358</v>
      </c>
      <c r="G31" s="9">
        <f>2*G30/$N$3</f>
        <v>2.3280483187537153</v>
      </c>
      <c r="H31" s="10">
        <f>2*H30/$N$3</f>
        <v>1.8032167583752656</v>
      </c>
      <c r="R31" s="46">
        <v>707</v>
      </c>
      <c r="S31" s="50"/>
      <c r="T31" s="24">
        <f>E14</f>
        <v>4.0199999999999996</v>
      </c>
      <c r="U31" s="24">
        <f t="shared" si="4"/>
        <v>8.6631519021806408E-2</v>
      </c>
      <c r="V31" s="24">
        <f t="shared" si="5"/>
        <v>3.7665877835568002</v>
      </c>
      <c r="W31" s="24">
        <f t="shared" si="6"/>
        <v>0.15811169486918641</v>
      </c>
      <c r="X31" s="24">
        <f>$E$42+$E$41*V31</f>
        <v>0.15677027643850808</v>
      </c>
    </row>
    <row r="32" spans="2:24" ht="14.65" thickBot="1" x14ac:dyDescent="0.5">
      <c r="B32" s="21" t="s">
        <v>10</v>
      </c>
      <c r="C32" s="11">
        <f>$B$11*$N$3*($O$3-C30)/2000</f>
        <v>0.15713612412113404</v>
      </c>
      <c r="D32" s="11">
        <f>$B$11*$N$3*($O$3-D30)/2000</f>
        <v>0.15761144360116874</v>
      </c>
      <c r="E32" s="11">
        <f>$B$11*$N$3*($O$3-E30)/2000</f>
        <v>0.15811169486918641</v>
      </c>
      <c r="F32" s="11">
        <f>$B$11*$N$3*($O$3-F30)/2000</f>
        <v>0.15847206687339976</v>
      </c>
      <c r="G32" s="11">
        <f>$B$11*$N$3*($O$3-G30)/2000</f>
        <v>0.15864971294464114</v>
      </c>
      <c r="H32" s="23">
        <f>$B$11*$N$3*($O$3-H30)/2000</f>
        <v>0.15884600152271738</v>
      </c>
      <c r="L32" s="41" t="s">
        <v>51</v>
      </c>
      <c r="M32" s="41">
        <f>V21-M21</f>
        <v>2.6614860272741443</v>
      </c>
      <c r="N32" s="41" t="s">
        <v>50</v>
      </c>
      <c r="O32" s="41">
        <f>W21-O21</f>
        <v>5.9407973062709882E-2</v>
      </c>
      <c r="R32" s="46">
        <v>927</v>
      </c>
      <c r="S32" s="50"/>
      <c r="T32" s="24">
        <f>E18</f>
        <v>3.5033333333333334</v>
      </c>
      <c r="U32" s="24">
        <f t="shared" si="4"/>
        <v>0.11406833779799221</v>
      </c>
      <c r="V32" s="24">
        <f t="shared" si="5"/>
        <v>4.9594929477387915</v>
      </c>
      <c r="W32" s="24">
        <f t="shared" si="6"/>
        <v>0.206726958969809</v>
      </c>
      <c r="X32" s="24">
        <f>$E$42+$E$41*V32</f>
        <v>0.20680641346745776</v>
      </c>
    </row>
    <row r="33" spans="2:24" x14ac:dyDescent="0.45">
      <c r="B33" s="8" t="s">
        <v>7</v>
      </c>
      <c r="C33" s="5">
        <f>C18</f>
        <v>2.5833333333333335</v>
      </c>
      <c r="D33" s="6">
        <f>D18</f>
        <v>2.9733333333333332</v>
      </c>
      <c r="E33" s="6">
        <f>E18</f>
        <v>3.5033333333333334</v>
      </c>
      <c r="F33" s="6">
        <f>F18</f>
        <v>3.9633333333333334</v>
      </c>
      <c r="G33" s="6">
        <f>G18</f>
        <v>4.55</v>
      </c>
      <c r="H33" s="7">
        <f>H18</f>
        <v>5.0766666666666671</v>
      </c>
      <c r="L33" s="41" t="s">
        <v>49</v>
      </c>
      <c r="M33" s="41">
        <f>V21+M21</f>
        <v>2.8417568131652478</v>
      </c>
      <c r="N33" s="41" t="s">
        <v>48</v>
      </c>
      <c r="O33" s="41">
        <f>W21+O21</f>
        <v>6.0301152408777925E-2</v>
      </c>
      <c r="R33" s="47">
        <v>267</v>
      </c>
      <c r="S33" s="50" t="s">
        <v>4</v>
      </c>
      <c r="T33" s="24">
        <f>F6</f>
        <v>7.37</v>
      </c>
      <c r="U33" s="24">
        <f t="shared" si="4"/>
        <v>2.5774666816405202E-2</v>
      </c>
      <c r="V33" s="24">
        <f t="shared" si="5"/>
        <v>1.1206376876697914</v>
      </c>
      <c r="W33" s="24">
        <f t="shared" si="6"/>
        <v>6.008492777108046E-2</v>
      </c>
      <c r="X33" s="24">
        <f>$F$42+$F$41*V33</f>
        <v>6.0765917384393978E-2</v>
      </c>
    </row>
    <row r="34" spans="2:24" x14ac:dyDescent="0.45">
      <c r="B34" s="8" t="s">
        <v>8</v>
      </c>
      <c r="C34" s="8">
        <f>2*$M$3/C33^2</f>
        <v>0.20978147762747135</v>
      </c>
      <c r="D34" s="9">
        <f>2*$M$3/D33^2</f>
        <v>0.1583583019968228</v>
      </c>
      <c r="E34" s="9">
        <f>2*$M$3/E33^2</f>
        <v>0.11406833779799221</v>
      </c>
      <c r="F34" s="9">
        <f>2*$M$3/F33^2</f>
        <v>8.9126496670842395E-2</v>
      </c>
      <c r="G34" s="9">
        <f>2*$M$3/G33^2</f>
        <v>6.76246830092984E-2</v>
      </c>
      <c r="H34" s="10">
        <f>2*$M$3/H33^2</f>
        <v>5.4321373002881174E-2</v>
      </c>
      <c r="L34" s="41" t="s">
        <v>47</v>
      </c>
      <c r="M34" s="41">
        <f>V22-M22</f>
        <v>4.6395909752861959</v>
      </c>
      <c r="N34" s="41" t="s">
        <v>46</v>
      </c>
      <c r="O34" s="41">
        <f>W22-O22</f>
        <v>0.1078368641469457</v>
      </c>
      <c r="R34" s="46">
        <v>487</v>
      </c>
      <c r="S34" s="50"/>
      <c r="T34" s="24">
        <f>F10</f>
        <v>5.4266666666666667</v>
      </c>
      <c r="U34" s="24">
        <f t="shared" si="4"/>
        <v>4.7540280955514366E-2</v>
      </c>
      <c r="V34" s="24">
        <f t="shared" si="5"/>
        <v>2.0669687371962771</v>
      </c>
      <c r="W34" s="24">
        <f t="shared" si="6"/>
        <v>0.1093493113130173</v>
      </c>
      <c r="X34" s="24">
        <f>$F$42+$F$41*V34</f>
        <v>0.11211584482689735</v>
      </c>
    </row>
    <row r="35" spans="2:24" x14ac:dyDescent="0.45">
      <c r="B35" s="8" t="s">
        <v>9</v>
      </c>
      <c r="C35" s="8">
        <f>2*C34/$N$3</f>
        <v>9.1209338098900581</v>
      </c>
      <c r="D35" s="9">
        <f>2*D34/$N$3</f>
        <v>6.8851435650792521</v>
      </c>
      <c r="E35" s="9">
        <f>2*E34/$N$3</f>
        <v>4.9594929477387915</v>
      </c>
      <c r="F35" s="9">
        <f>2*F34/$N$3</f>
        <v>3.8750650726453215</v>
      </c>
      <c r="G35" s="9">
        <f>2*G34/$N$3</f>
        <v>2.9402036090999304</v>
      </c>
      <c r="H35" s="10">
        <f>2*H34/$N$3</f>
        <v>2.3617988262122251</v>
      </c>
      <c r="L35" s="41" t="s">
        <v>45</v>
      </c>
      <c r="M35" s="41">
        <f>V22+M22</f>
        <v>5.0567119667683498</v>
      </c>
      <c r="N35" s="41" t="s">
        <v>44</v>
      </c>
      <c r="O35" s="41">
        <f>W22+O22</f>
        <v>0.10942876520021343</v>
      </c>
      <c r="R35" s="46">
        <v>707</v>
      </c>
      <c r="S35" s="50"/>
      <c r="T35" s="24">
        <f>F14</f>
        <v>4.66</v>
      </c>
      <c r="U35" s="24">
        <f t="shared" si="4"/>
        <v>6.4469782092136524E-2</v>
      </c>
      <c r="V35" s="24">
        <f t="shared" si="5"/>
        <v>2.8030340040059358</v>
      </c>
      <c r="W35" s="24">
        <f t="shared" si="6"/>
        <v>0.15847206687339976</v>
      </c>
      <c r="X35" s="24">
        <f>$F$42+$F$41*V35</f>
        <v>0.15205630547492877</v>
      </c>
    </row>
    <row r="36" spans="2:24" ht="14.65" thickBot="1" x14ac:dyDescent="0.5">
      <c r="B36" s="11" t="s">
        <v>10</v>
      </c>
      <c r="C36" s="11">
        <f>$B$15*$N$3*($O$3-C34)/2000</f>
        <v>0.20468625911550467</v>
      </c>
      <c r="D36" s="11">
        <f>$B$15*$N$3*($O$3-D34)/2000</f>
        <v>0.20578265264312573</v>
      </c>
      <c r="E36" s="11">
        <f>$B$15*$N$3*($O$3-E34)/2000</f>
        <v>0.206726958969809</v>
      </c>
      <c r="F36" s="11">
        <f>$B$15*$N$3*($O$3-F34)/2000</f>
        <v>0.20725874396448096</v>
      </c>
      <c r="G36" s="11">
        <f>$B$15*$N$3*($O$3-G34)/2000</f>
        <v>0.20771718413355872</v>
      </c>
      <c r="H36" s="23">
        <f>$B$15*$N$3*($O$3-H34)/2000</f>
        <v>0.20800082400620556</v>
      </c>
      <c r="L36" s="41" t="s">
        <v>43</v>
      </c>
      <c r="M36" s="41">
        <f>V23-M23</f>
        <v>6.0616355071032046</v>
      </c>
      <c r="N36" s="41" t="s">
        <v>42</v>
      </c>
      <c r="O36" s="41">
        <f>W23-O23</f>
        <v>0.15598678416195225</v>
      </c>
      <c r="R36" s="46">
        <v>927</v>
      </c>
      <c r="S36" s="50"/>
      <c r="T36" s="24">
        <f>F18</f>
        <v>3.9633333333333334</v>
      </c>
      <c r="U36" s="24">
        <f t="shared" si="4"/>
        <v>8.9126496670842395E-2</v>
      </c>
      <c r="V36" s="24">
        <f t="shared" si="5"/>
        <v>3.8750650726453215</v>
      </c>
      <c r="W36" s="24">
        <f t="shared" si="6"/>
        <v>0.20725874396448096</v>
      </c>
      <c r="X36" s="24">
        <f>$F$42+$F$41*V36</f>
        <v>0.21022698223575836</v>
      </c>
    </row>
    <row r="37" spans="2:24" x14ac:dyDescent="0.45">
      <c r="L37" s="41" t="s">
        <v>41</v>
      </c>
      <c r="M37" s="41">
        <f>V23+M23</f>
        <v>6.6884540850441976</v>
      </c>
      <c r="N37" s="41" t="s">
        <v>40</v>
      </c>
      <c r="O37" s="41">
        <f>W23+O23</f>
        <v>0.15828546408031582</v>
      </c>
      <c r="R37" s="47">
        <v>267</v>
      </c>
      <c r="S37" s="50" t="s">
        <v>5</v>
      </c>
      <c r="T37" s="24">
        <f>G6</f>
        <v>8.23</v>
      </c>
      <c r="U37" s="24">
        <f t="shared" si="4"/>
        <v>2.066942357406814E-2</v>
      </c>
      <c r="V37" s="24">
        <f t="shared" si="5"/>
        <v>0.89867059017687567</v>
      </c>
      <c r="W37" s="24">
        <f t="shared" si="6"/>
        <v>6.0116279069831649E-2</v>
      </c>
      <c r="X37" s="24">
        <f>$G$42+$G$41*V37</f>
        <v>5.4908390501830523E-2</v>
      </c>
    </row>
    <row r="38" spans="2:24" x14ac:dyDescent="0.45">
      <c r="B38" s="24"/>
      <c r="C38" s="24" t="s">
        <v>1</v>
      </c>
      <c r="D38" s="24" t="s">
        <v>2</v>
      </c>
      <c r="E38" s="24" t="s">
        <v>3</v>
      </c>
      <c r="F38" s="24" t="s">
        <v>4</v>
      </c>
      <c r="G38" s="24" t="s">
        <v>5</v>
      </c>
      <c r="H38" s="24" t="s">
        <v>6</v>
      </c>
      <c r="L38" s="41" t="s">
        <v>39</v>
      </c>
      <c r="M38" s="41">
        <f>V24-M24</f>
        <v>8.5863436190748743</v>
      </c>
      <c r="N38" s="41" t="s">
        <v>38</v>
      </c>
      <c r="O38" s="41">
        <f>W24-O24</f>
        <v>0.20317679198906902</v>
      </c>
      <c r="R38" s="46">
        <v>487</v>
      </c>
      <c r="S38" s="50"/>
      <c r="T38" s="24">
        <f>G10</f>
        <v>5.8666666666666671</v>
      </c>
      <c r="U38" s="24">
        <f t="shared" si="4"/>
        <v>4.0676652892561969E-2</v>
      </c>
      <c r="V38" s="24">
        <f t="shared" si="5"/>
        <v>1.7685501257635639</v>
      </c>
      <c r="W38" s="24">
        <f t="shared" si="6"/>
        <v>0.10942619081095041</v>
      </c>
      <c r="X38" s="24">
        <f>$G$42+$G$41*V38</f>
        <v>0.11828898075993124</v>
      </c>
    </row>
    <row r="39" spans="2:24" x14ac:dyDescent="0.45">
      <c r="B39" s="24" t="s">
        <v>15</v>
      </c>
      <c r="C39" s="25">
        <f>AVERAGE(C23,C27,C31,C35)</f>
        <v>5.7739378743026819</v>
      </c>
      <c r="D39" s="25">
        <f>AVERAGE(D23,D27,D31,D35)</f>
        <v>4.3785285226397201</v>
      </c>
      <c r="E39" s="25">
        <f>AVERAGE(E23,E27,E31,E35)</f>
        <v>3.2122135949473152</v>
      </c>
      <c r="F39" s="25">
        <f>AVERAGE(F23,F27,F31,F35)</f>
        <v>2.4664263753793314</v>
      </c>
      <c r="G39" s="25">
        <f>AVERAGE(G23,G27,G31,G35)</f>
        <v>1.9838681609485214</v>
      </c>
      <c r="H39" s="25">
        <f>AVERAGE(H23,H27,H31,H35)</f>
        <v>1.5276666826582272</v>
      </c>
      <c r="L39" s="41" t="s">
        <v>37</v>
      </c>
      <c r="M39" s="41">
        <f>V24+M24</f>
        <v>9.6555240007052419</v>
      </c>
      <c r="N39" s="41" t="s">
        <v>36</v>
      </c>
      <c r="O39" s="41">
        <f>W24+O24</f>
        <v>0.20619572624194032</v>
      </c>
      <c r="R39" s="46">
        <v>707</v>
      </c>
      <c r="S39" s="50"/>
      <c r="T39" s="24">
        <f>G14</f>
        <v>5.1133333333333333</v>
      </c>
      <c r="U39" s="24">
        <f t="shared" si="4"/>
        <v>5.3545111331335452E-2</v>
      </c>
      <c r="V39" s="24">
        <f t="shared" si="5"/>
        <v>2.3280483187537153</v>
      </c>
      <c r="W39" s="24">
        <f t="shared" si="6"/>
        <v>0.15864971294464114</v>
      </c>
      <c r="X39" s="24">
        <f>$G$42+$G$41*V39</f>
        <v>0.15905476989433104</v>
      </c>
    </row>
    <row r="40" spans="2:24" x14ac:dyDescent="0.45">
      <c r="B40" s="24" t="s">
        <v>16</v>
      </c>
      <c r="C40" s="25">
        <f>AVERAGE(C24,C28,C32,C36)</f>
        <v>0.13257744016149053</v>
      </c>
      <c r="D40" s="26">
        <f>AVERAGE(D24,D28,D32,D36)</f>
        <v>0.13308103185853648</v>
      </c>
      <c r="E40" s="26">
        <f>AVERAGE(E24,E28,E32,E36)</f>
        <v>0.13351717661175178</v>
      </c>
      <c r="F40" s="25">
        <f>AVERAGE(F24,F28,F32,F36)</f>
        <v>0.13379126248049461</v>
      </c>
      <c r="G40" s="26">
        <f>AVERAGE(G24,G28,G32,G36)</f>
        <v>0.13397734173974546</v>
      </c>
      <c r="H40" s="26">
        <f>AVERAGE(H24,H28,H32,H36)</f>
        <v>0.13413752377069865</v>
      </c>
      <c r="R40" s="46">
        <v>927</v>
      </c>
      <c r="S40" s="50"/>
      <c r="T40" s="24">
        <f>G18</f>
        <v>4.55</v>
      </c>
      <c r="U40" s="24">
        <f t="shared" si="4"/>
        <v>6.76246830092984E-2</v>
      </c>
      <c r="V40" s="24">
        <f t="shared" si="5"/>
        <v>2.9402036090999304</v>
      </c>
      <c r="W40" s="24">
        <f t="shared" si="6"/>
        <v>0.20771718413355872</v>
      </c>
      <c r="X40" s="24">
        <f>$G$42+$G$41*V40</f>
        <v>0.20365722580288903</v>
      </c>
    </row>
    <row r="41" spans="2:24" x14ac:dyDescent="0.45">
      <c r="B41" s="24" t="s">
        <v>17</v>
      </c>
      <c r="C41" s="27">
        <f>((C23-C39)*(C24-C40)+(C27-C39)*(C28-C40)+(C31-C39)*(C32-C40)+(C35-C39)*(C36-C40))/((C23-C39)^2+(C27-C39)^2+(C31-C39)^2+(C35-C39)^2)</f>
        <v>2.3106709354646215E-2</v>
      </c>
      <c r="D41" s="27">
        <f>((D23-D39)*(D24-D40)+(D27-D39)*(D28-D40)+(D31-D39)*(D32-D40)+(D35-D39)*(D36-D40))/((D23-D39)^2+(D27-D39)^2+(D31-D39)^2+(D35-D39)^2)</f>
        <v>2.9770984604433014E-2</v>
      </c>
      <c r="E41" s="27">
        <f>((E23-E39)*(E24-E40)+(E27-E39)*(E28-E40)+(E31-E39)*(E32-E40)+(E35-E39)*(E36-E40))/((E23-E39)^2+(E27-E39)^2+(E31-E39)^2+(E35-E39)^2)</f>
        <v>4.1944773592510066E-2</v>
      </c>
      <c r="F41" s="27">
        <f>((F23-F39)*(F24-F40)+(F27-F39)*(F28-F40)+(F31-F39)*(F32-F40)+(F35-F39)*(F36-F40))/((F23-F39)^2+(F27-F39)^2+(F31-F39)^2+(F35-F39)^2)</f>
        <v>5.4262118386792096E-2</v>
      </c>
      <c r="G41" s="27">
        <f>((G23-G39)*(G24-G40)+(G27-G39)*(G28-G40)+(G31-G39)*(G32-G40)+(G35-G39)*(G36-G40))/((G23-G39)^2+(G27-G39)^2+(G31-G39)^2+(G35-G39)^2)</f>
        <v>7.2861341904490076E-2</v>
      </c>
      <c r="H41" s="27">
        <f>((H23-H39)*(H24-H40)+(H27-H39)*(H28-H40)+(H31-H39)*(H32-H40)+(H35-H39)*(H36-H40))/((H23-H39)^2+(H27-H39)^2+(H31-H39)^2+(H35-H39)^2)</f>
        <v>8.8359969200206362E-2</v>
      </c>
      <c r="R41" s="47">
        <v>267</v>
      </c>
      <c r="S41" s="50" t="s">
        <v>6</v>
      </c>
      <c r="T41" s="24">
        <f>H6</f>
        <v>9.44</v>
      </c>
      <c r="U41" s="24">
        <f t="shared" si="4"/>
        <v>1.5710284401034186E-2</v>
      </c>
      <c r="V41" s="24">
        <f t="shared" si="5"/>
        <v>0.68305584352322546</v>
      </c>
      <c r="W41" s="24">
        <f t="shared" si="6"/>
        <v>6.0146733143493253E-2</v>
      </c>
      <c r="X41" s="24">
        <f>$H$42+$H$41*V41</f>
        <v>5.9507736038569431E-2</v>
      </c>
    </row>
    <row r="42" spans="2:24" x14ac:dyDescent="0.45">
      <c r="B42" s="24" t="s">
        <v>18</v>
      </c>
      <c r="C42" s="28">
        <f>C40-C41*C39</f>
        <v>-8.3926413180532289E-4</v>
      </c>
      <c r="D42" s="29">
        <f t="shared" ref="D42:H42" si="7">D40-D41*D39</f>
        <v>2.727926620958554E-3</v>
      </c>
      <c r="E42" s="27">
        <f t="shared" si="7"/>
        <v>-1.2183953590962082E-3</v>
      </c>
      <c r="F42" s="29">
        <f t="shared" si="7"/>
        <v>-4.2257492645192407E-5</v>
      </c>
      <c r="G42" s="29">
        <f t="shared" si="7"/>
        <v>-1.0569954628556699E-2</v>
      </c>
      <c r="H42" s="28">
        <f t="shared" si="7"/>
        <v>-8.4705725716374691E-4</v>
      </c>
      <c r="R42" s="46">
        <v>487</v>
      </c>
      <c r="S42" s="50"/>
      <c r="T42" s="24">
        <f>H10</f>
        <v>6.9433333333333342</v>
      </c>
      <c r="U42" s="24">
        <f t="shared" si="4"/>
        <v>2.9039691958010438E-2</v>
      </c>
      <c r="V42" s="24">
        <f t="shared" si="5"/>
        <v>1.262595302522193</v>
      </c>
      <c r="W42" s="24">
        <f t="shared" si="6"/>
        <v>0.10955653641037834</v>
      </c>
      <c r="X42" s="24">
        <f>$H$42+$H$41*V42</f>
        <v>0.11071582478602246</v>
      </c>
    </row>
    <row r="43" spans="2:24" x14ac:dyDescent="0.45">
      <c r="R43" s="46">
        <v>707</v>
      </c>
      <c r="S43" s="50"/>
      <c r="T43" s="24">
        <f>H14</f>
        <v>5.81</v>
      </c>
      <c r="U43" s="24">
        <f t="shared" si="4"/>
        <v>4.147398544263111E-2</v>
      </c>
      <c r="V43" s="24">
        <f t="shared" si="5"/>
        <v>1.8032167583752656</v>
      </c>
      <c r="W43" s="24">
        <f t="shared" si="6"/>
        <v>0.15884600152271738</v>
      </c>
      <c r="X43" s="24">
        <f>$H$42+$H$41*V43</f>
        <v>0.15848511997417067</v>
      </c>
    </row>
    <row r="44" spans="2:24" x14ac:dyDescent="0.45">
      <c r="B44" s="24" t="s">
        <v>35</v>
      </c>
      <c r="C44" s="24" t="s">
        <v>34</v>
      </c>
      <c r="D44" s="24" t="s">
        <v>33</v>
      </c>
      <c r="E44" s="24" t="s">
        <v>32</v>
      </c>
      <c r="F44" s="24" t="s">
        <v>31</v>
      </c>
      <c r="G44" s="24" t="s">
        <v>30</v>
      </c>
      <c r="H44" s="24"/>
      <c r="R44" s="48">
        <v>927</v>
      </c>
      <c r="S44" s="50"/>
      <c r="T44" s="24">
        <f>H18</f>
        <v>5.0766666666666671</v>
      </c>
      <c r="U44" s="24">
        <f t="shared" si="4"/>
        <v>5.4321373002881174E-2</v>
      </c>
      <c r="V44" s="24">
        <f t="shared" si="5"/>
        <v>2.3617988262122251</v>
      </c>
      <c r="W44" s="24">
        <f t="shared" si="6"/>
        <v>0.20800082400620556</v>
      </c>
      <c r="X44" s="24">
        <f>$H$42+$H$41*V44</f>
        <v>0.20784141428403199</v>
      </c>
    </row>
    <row r="45" spans="2:24" x14ac:dyDescent="0.45">
      <c r="B45" s="24">
        <v>1</v>
      </c>
      <c r="C45" s="24">
        <f t="shared" ref="C45:C50" si="8" xml:space="preserve"> (57 + (B45-1)*25 +20)/1000</f>
        <v>7.6999999999999999E-2</v>
      </c>
      <c r="D45" s="24">
        <f t="shared" ref="D45:D50" si="9">C45^2</f>
        <v>5.9290000000000002E-3</v>
      </c>
      <c r="E45" s="49">
        <f>C41</f>
        <v>2.3106709354646215E-2</v>
      </c>
      <c r="F45" s="24">
        <f t="shared" ref="F45:F50" si="10">$C$55+$C$54*D45</f>
        <v>2.2271403641415652E-2</v>
      </c>
      <c r="G45" s="24">
        <f t="shared" ref="G45:G50" si="11">E45-($C$55+$C$54*D45)</f>
        <v>8.3530571323056288E-4</v>
      </c>
      <c r="H45" s="24">
        <f t="shared" ref="H45:H50" si="12">(D45-$C$52)^2</f>
        <v>2.3575043402777784E-4</v>
      </c>
    </row>
    <row r="46" spans="2:24" x14ac:dyDescent="0.45">
      <c r="B46" s="24">
        <v>2</v>
      </c>
      <c r="C46" s="24">
        <f t="shared" si="8"/>
        <v>0.10199999999999999</v>
      </c>
      <c r="D46" s="24">
        <f t="shared" si="9"/>
        <v>1.0403999999999998E-2</v>
      </c>
      <c r="E46" s="24">
        <f>D41</f>
        <v>2.9770984604433014E-2</v>
      </c>
      <c r="F46" s="24">
        <f t="shared" si="10"/>
        <v>3.0853565937163416E-2</v>
      </c>
      <c r="G46" s="24">
        <f t="shared" si="11"/>
        <v>-1.0825813327304014E-3</v>
      </c>
      <c r="H46" s="24">
        <f t="shared" si="12"/>
        <v>1.183562673611112E-4</v>
      </c>
    </row>
    <row r="47" spans="2:24" x14ac:dyDescent="0.45">
      <c r="B47" s="24">
        <v>3</v>
      </c>
      <c r="C47" s="24">
        <f t="shared" si="8"/>
        <v>0.127</v>
      </c>
      <c r="D47" s="24">
        <f t="shared" si="9"/>
        <v>1.6129000000000001E-2</v>
      </c>
      <c r="E47" s="24">
        <f>E41</f>
        <v>4.1944773592510066E-2</v>
      </c>
      <c r="F47" s="24">
        <f t="shared" si="10"/>
        <v>4.1832980270829559E-2</v>
      </c>
      <c r="G47" s="24">
        <f t="shared" si="11"/>
        <v>1.1179332168050754E-4</v>
      </c>
      <c r="H47" s="24">
        <f t="shared" si="12"/>
        <v>2.6565434027777793E-5</v>
      </c>
    </row>
    <row r="48" spans="2:24" x14ac:dyDescent="0.45">
      <c r="B48" s="24">
        <v>4</v>
      </c>
      <c r="C48" s="24">
        <f t="shared" si="8"/>
        <v>0.152</v>
      </c>
      <c r="D48" s="24">
        <f t="shared" si="9"/>
        <v>2.3104E-2</v>
      </c>
      <c r="E48" s="24">
        <f>F41</f>
        <v>5.4262118386792096E-2</v>
      </c>
      <c r="F48" s="24">
        <f t="shared" si="10"/>
        <v>5.5209646642414067E-2</v>
      </c>
      <c r="G48" s="24">
        <f t="shared" si="11"/>
        <v>-9.4752825562197107E-4</v>
      </c>
      <c r="H48" s="24">
        <f t="shared" si="12"/>
        <v>3.3154340277777676E-6</v>
      </c>
    </row>
    <row r="49" spans="2:24" x14ac:dyDescent="0.45">
      <c r="B49" s="24">
        <v>5</v>
      </c>
      <c r="C49" s="24">
        <f t="shared" si="8"/>
        <v>0.17699999999999999</v>
      </c>
      <c r="D49" s="24">
        <f t="shared" si="9"/>
        <v>3.1328999999999996E-2</v>
      </c>
      <c r="E49" s="24">
        <f>G41</f>
        <v>7.2861341904490076E-2</v>
      </c>
      <c r="F49" s="24">
        <f t="shared" si="10"/>
        <v>7.0983565051916941E-2</v>
      </c>
      <c r="G49" s="24">
        <f t="shared" si="11"/>
        <v>1.8777768525731348E-3</v>
      </c>
      <c r="H49" s="24">
        <f t="shared" si="12"/>
        <v>1.0091876736111099E-4</v>
      </c>
    </row>
    <row r="50" spans="2:24" x14ac:dyDescent="0.45">
      <c r="B50" s="24">
        <v>6</v>
      </c>
      <c r="C50" s="24">
        <f t="shared" si="8"/>
        <v>0.20200000000000001</v>
      </c>
      <c r="D50" s="24">
        <f t="shared" si="9"/>
        <v>4.0804000000000007E-2</v>
      </c>
      <c r="E50" s="24">
        <f>H41</f>
        <v>8.8359969200206362E-2</v>
      </c>
      <c r="F50" s="24">
        <f t="shared" si="10"/>
        <v>8.9154735499338209E-2</v>
      </c>
      <c r="G50" s="24">
        <f t="shared" si="11"/>
        <v>-7.947662991318466E-4</v>
      </c>
      <c r="H50" s="24">
        <f t="shared" si="12"/>
        <v>3.8106293402777796E-4</v>
      </c>
    </row>
    <row r="52" spans="2:24" x14ac:dyDescent="0.45">
      <c r="B52" s="24" t="s">
        <v>29</v>
      </c>
      <c r="C52" s="24">
        <f>AVERAGE(D45:D50)</f>
        <v>2.1283166666666669E-2</v>
      </c>
    </row>
    <row r="53" spans="2:24" x14ac:dyDescent="0.45">
      <c r="B53" s="24" t="s">
        <v>28</v>
      </c>
      <c r="C53" s="24">
        <f xml:space="preserve"> AVERAGE(E45:E50)</f>
        <v>5.1717649507179643E-2</v>
      </c>
    </row>
    <row r="54" spans="2:24" x14ac:dyDescent="0.45">
      <c r="B54" s="24" t="s">
        <v>27</v>
      </c>
      <c r="C54" s="24">
        <f>((D45-C52)*(E45-C53)+(D46-C52)*(E46-C53) + (D47-C52)*(E47-C53) + (D48-C52)*(E48-C53) + (D49-C52)*(E49-C53) + (D50-C52)*(E50-C53))/((D45-C52)^2 + (D46-C52)^2 + (D47-C52)^2 + (D48-C52)^2 + (D49-C52)^2  + (D50-C52)^2)</f>
        <v>1.9178016303346965</v>
      </c>
      <c r="D54" s="30">
        <f>C54/4</f>
        <v>0.47945040758367413</v>
      </c>
    </row>
    <row r="55" spans="2:24" x14ac:dyDescent="0.45">
      <c r="B55" s="24" t="s">
        <v>26</v>
      </c>
      <c r="C55" s="24">
        <f>C53-C54*C52</f>
        <v>1.0900757775161238E-2</v>
      </c>
      <c r="D55">
        <v>1.41E-2</v>
      </c>
    </row>
    <row r="56" spans="2:24" x14ac:dyDescent="0.45">
      <c r="B56" s="24" t="s">
        <v>25</v>
      </c>
      <c r="C56" s="24">
        <f>SUM(H45:H50)</f>
        <v>8.6596927083333359E-4</v>
      </c>
    </row>
    <row r="57" spans="2:24" x14ac:dyDescent="0.45">
      <c r="B57" s="24" t="s">
        <v>24</v>
      </c>
      <c r="C57" s="24">
        <f>SQRT(SUMSQ(G45:G50)/C56/4)</f>
        <v>4.4753530457808034E-2</v>
      </c>
    </row>
    <row r="58" spans="2:24" x14ac:dyDescent="0.45">
      <c r="B58" s="24" t="s">
        <v>23</v>
      </c>
      <c r="C58" s="24">
        <f>SQRT((1/4+C52^2/C56)*SUMSQ(G45:G50)/4)</f>
        <v>1.1579542524829403E-3</v>
      </c>
    </row>
    <row r="59" spans="2:24" x14ac:dyDescent="0.45">
      <c r="B59" s="24" t="s">
        <v>22</v>
      </c>
      <c r="C59" s="24">
        <f>C57*2.22813885196493/4</f>
        <v>2.4929269993909483E-2</v>
      </c>
      <c r="D59">
        <v>3.5999999999999997E-2</v>
      </c>
    </row>
    <row r="60" spans="2:24" x14ac:dyDescent="0.45">
      <c r="B60" s="24" t="s">
        <v>21</v>
      </c>
      <c r="C60" s="24">
        <f>C58*2.22813885196493</f>
        <v>2.5800828587552475E-3</v>
      </c>
      <c r="D60">
        <v>3.8E-3</v>
      </c>
    </row>
    <row r="61" spans="2:24" x14ac:dyDescent="0.45">
      <c r="B61" s="24" t="s">
        <v>20</v>
      </c>
      <c r="C61" s="24">
        <f>C59/D54</f>
        <v>5.1995513195092664E-2</v>
      </c>
      <c r="D61">
        <v>0.09</v>
      </c>
    </row>
    <row r="62" spans="2:24" ht="14.65" thickBot="1" x14ac:dyDescent="0.5">
      <c r="B62" s="24" t="s">
        <v>19</v>
      </c>
      <c r="C62" s="24">
        <f>C60/C55</f>
        <v>0.23668839469438485</v>
      </c>
      <c r="D62">
        <v>0.27</v>
      </c>
      <c r="P62" t="s">
        <v>70</v>
      </c>
      <c r="R62" t="s">
        <v>69</v>
      </c>
      <c r="S62">
        <v>2.3106709354646215E-2</v>
      </c>
      <c r="T62">
        <v>2.9770984604433014E-2</v>
      </c>
      <c r="U62">
        <v>4.1944773592510066E-2</v>
      </c>
      <c r="V62">
        <v>5.4262118386792096E-2</v>
      </c>
      <c r="W62">
        <v>7.2861341904490076E-2</v>
      </c>
      <c r="X62">
        <v>8.8359969200206362E-2</v>
      </c>
    </row>
    <row r="63" spans="2:24" ht="15.4" thickBot="1" x14ac:dyDescent="0.5">
      <c r="P63" s="64">
        <v>2.7516214200000002</v>
      </c>
      <c r="S63" s="64">
        <v>2.7516214200000002</v>
      </c>
      <c r="T63" s="64">
        <v>2.7516214200000002</v>
      </c>
      <c r="U63" s="65">
        <v>1.4362770549999999</v>
      </c>
      <c r="V63" s="65">
        <v>1.120637688</v>
      </c>
      <c r="W63" s="65">
        <v>0.89867059000000005</v>
      </c>
      <c r="X63" s="65">
        <v>0.68305584399999997</v>
      </c>
    </row>
    <row r="64" spans="2:24" ht="15.4" thickBot="1" x14ac:dyDescent="0.5">
      <c r="P64" s="65">
        <v>4.8481514710000004</v>
      </c>
      <c r="S64" s="65">
        <v>4.8481514710000004</v>
      </c>
      <c r="T64" s="65">
        <v>4.8481514710000004</v>
      </c>
      <c r="U64" s="65">
        <v>2.6864965939999998</v>
      </c>
      <c r="V64" s="65">
        <v>2.0669687369999998</v>
      </c>
      <c r="W64" s="65">
        <v>1.7685501260000001</v>
      </c>
      <c r="X64" s="65">
        <v>1.2625953029999999</v>
      </c>
    </row>
    <row r="65" spans="2:24" ht="15.4" thickBot="1" x14ac:dyDescent="0.5">
      <c r="P65" s="65">
        <v>6.3750447960000001</v>
      </c>
      <c r="S65" s="65">
        <v>6.3750447960000001</v>
      </c>
      <c r="T65" s="65">
        <v>6.3750447960000001</v>
      </c>
      <c r="U65" s="65">
        <v>3.7665877839999999</v>
      </c>
      <c r="V65" s="65">
        <v>2.8030340040000001</v>
      </c>
      <c r="W65" s="65">
        <v>2.3280483190000001</v>
      </c>
      <c r="X65" s="65">
        <v>1.803216758</v>
      </c>
    </row>
    <row r="66" spans="2:24" ht="15.4" thickBot="1" x14ac:dyDescent="0.5">
      <c r="B66" s="2"/>
      <c r="C66" s="3" t="s">
        <v>1</v>
      </c>
      <c r="D66" s="3" t="s">
        <v>2</v>
      </c>
      <c r="E66" s="3" t="s">
        <v>3</v>
      </c>
      <c r="F66" s="3" t="s">
        <v>4</v>
      </c>
      <c r="G66" s="3" t="s">
        <v>5</v>
      </c>
      <c r="H66" s="4" t="s">
        <v>6</v>
      </c>
      <c r="P66" s="65">
        <v>9.1209338100000004</v>
      </c>
      <c r="S66" s="65">
        <v>9.1209338100000004</v>
      </c>
      <c r="T66" s="65">
        <v>9.1209338100000004</v>
      </c>
      <c r="U66" s="65">
        <v>4.9594929480000003</v>
      </c>
      <c r="V66" s="65">
        <v>3.875065073</v>
      </c>
      <c r="W66" s="65">
        <v>2.9402036090000001</v>
      </c>
      <c r="X66" s="65">
        <v>2.3617988259999998</v>
      </c>
    </row>
    <row r="67" spans="2:24" ht="15.4" thickBot="1" x14ac:dyDescent="0.5">
      <c r="B67" s="5" t="s">
        <v>7</v>
      </c>
      <c r="C67" s="19">
        <v>4.7033333333333331</v>
      </c>
      <c r="D67" s="59">
        <v>5.57</v>
      </c>
      <c r="E67" s="19">
        <v>6.5100000000000007</v>
      </c>
      <c r="F67" s="59">
        <v>7.37</v>
      </c>
      <c r="G67" s="19">
        <v>8.23</v>
      </c>
      <c r="H67" s="60">
        <v>9.44</v>
      </c>
      <c r="P67" s="64">
        <v>2.7516214200000002</v>
      </c>
    </row>
    <row r="68" spans="2:24" ht="15.4" thickBot="1" x14ac:dyDescent="0.5">
      <c r="B68" s="8" t="s">
        <v>8</v>
      </c>
      <c r="C68" s="20">
        <v>6.3287292665053008E-2</v>
      </c>
      <c r="D68" s="61">
        <v>4.5125044722142529E-2</v>
      </c>
      <c r="E68" s="20">
        <v>3.3034372264341041E-2</v>
      </c>
      <c r="F68" s="61">
        <v>2.5774666816405202E-2</v>
      </c>
      <c r="G68" s="20">
        <v>2.066942357406814E-2</v>
      </c>
      <c r="H68" s="43">
        <v>1.5710284401034186E-2</v>
      </c>
      <c r="P68" s="65">
        <v>4.8481514710000004</v>
      </c>
    </row>
    <row r="69" spans="2:24" ht="15.4" thickBot="1" x14ac:dyDescent="0.5">
      <c r="B69" s="8" t="s">
        <v>9</v>
      </c>
      <c r="C69" s="20">
        <v>2.751621420219696</v>
      </c>
      <c r="D69" s="61">
        <v>1.9619584661801099</v>
      </c>
      <c r="E69" s="20">
        <v>1.4362770549713497</v>
      </c>
      <c r="F69" s="61">
        <v>1.1206376876697914</v>
      </c>
      <c r="G69" s="20">
        <v>0.89867059017687567</v>
      </c>
      <c r="H69" s="43">
        <v>0.68305584352322546</v>
      </c>
      <c r="P69" s="65">
        <v>6.3750447960000001</v>
      </c>
    </row>
    <row r="70" spans="2:24" ht="15.4" thickBot="1" x14ac:dyDescent="0.5">
      <c r="B70" s="11" t="s">
        <v>10</v>
      </c>
      <c r="C70" s="23">
        <v>5.9854562735743903E-2</v>
      </c>
      <c r="D70" s="62">
        <v>5.9966097100361326E-2</v>
      </c>
      <c r="E70" s="23">
        <v>6.004034591992468E-2</v>
      </c>
      <c r="F70" s="62">
        <v>6.008492777108046E-2</v>
      </c>
      <c r="G70" s="23">
        <v>6.0116279069831649E-2</v>
      </c>
      <c r="H70" s="63">
        <v>6.0146733143493253E-2</v>
      </c>
      <c r="P70" s="65">
        <v>9.1209338100000004</v>
      </c>
    </row>
    <row r="71" spans="2:24" ht="15.4" thickBot="1" x14ac:dyDescent="0.5">
      <c r="B71" s="5" t="s">
        <v>7</v>
      </c>
      <c r="C71" s="19">
        <v>3.5433333333333334</v>
      </c>
      <c r="D71" s="59">
        <v>4.1333333333333337</v>
      </c>
      <c r="E71" s="19">
        <v>4.76</v>
      </c>
      <c r="F71" s="59">
        <v>5.4266666666666667</v>
      </c>
      <c r="G71" s="19">
        <v>5.8666666666666671</v>
      </c>
      <c r="H71" s="60">
        <v>6.9433333333333342</v>
      </c>
      <c r="P71" s="65">
        <v>1.4362770549999999</v>
      </c>
    </row>
    <row r="72" spans="2:24" ht="15.4" thickBot="1" x14ac:dyDescent="0.5">
      <c r="B72" s="8" t="s">
        <v>8</v>
      </c>
      <c r="C72" s="20">
        <v>0.11150748383362728</v>
      </c>
      <c r="D72" s="61">
        <v>8.1945889698230995E-2</v>
      </c>
      <c r="E72" s="20">
        <v>6.1789421651013345E-2</v>
      </c>
      <c r="F72" s="61">
        <v>4.7540280955514366E-2</v>
      </c>
      <c r="G72" s="20">
        <v>4.0676652892561969E-2</v>
      </c>
      <c r="H72" s="43">
        <v>2.9039691958010438E-2</v>
      </c>
      <c r="P72" s="65">
        <v>2.6864965939999998</v>
      </c>
    </row>
    <row r="73" spans="2:24" ht="15.4" thickBot="1" x14ac:dyDescent="0.5">
      <c r="B73" s="8" t="s">
        <v>9</v>
      </c>
      <c r="C73" s="20">
        <v>4.8481514710272728</v>
      </c>
      <c r="D73" s="61">
        <v>3.562864769488304</v>
      </c>
      <c r="E73" s="20">
        <v>2.6864965935223193</v>
      </c>
      <c r="F73" s="61">
        <v>2.0669687371962771</v>
      </c>
      <c r="G73" s="20">
        <v>1.7685501257635639</v>
      </c>
      <c r="H73" s="43">
        <v>1.262595302522193</v>
      </c>
      <c r="P73" s="65">
        <v>3.7665877839999999</v>
      </c>
    </row>
    <row r="74" spans="2:24" ht="15.4" thickBot="1" x14ac:dyDescent="0.5">
      <c r="B74" s="11" t="s">
        <v>10</v>
      </c>
      <c r="C74" s="23">
        <v>0.10863281467357956</v>
      </c>
      <c r="D74" s="62">
        <v>0.10896393408949012</v>
      </c>
      <c r="E74" s="23">
        <v>0.109189706688087</v>
      </c>
      <c r="F74" s="62">
        <v>0.1093493113130173</v>
      </c>
      <c r="G74" s="23">
        <v>0.10942619081095041</v>
      </c>
      <c r="H74" s="63">
        <v>0.10955653641037834</v>
      </c>
      <c r="P74" s="65">
        <v>4.9594929480000003</v>
      </c>
    </row>
    <row r="75" spans="2:24" ht="15.4" thickBot="1" x14ac:dyDescent="0.5">
      <c r="B75" s="5" t="s">
        <v>7</v>
      </c>
      <c r="C75" s="19">
        <v>3.09</v>
      </c>
      <c r="D75" s="59">
        <v>3.4533333333333331</v>
      </c>
      <c r="E75" s="19">
        <v>4.0199999999999996</v>
      </c>
      <c r="F75" s="59">
        <v>4.66</v>
      </c>
      <c r="G75" s="19">
        <v>5.1133333333333333</v>
      </c>
      <c r="H75" s="60">
        <v>5.81</v>
      </c>
      <c r="P75" s="65">
        <v>1.120637688</v>
      </c>
    </row>
    <row r="76" spans="2:24" ht="15.4" thickBot="1" x14ac:dyDescent="0.5">
      <c r="B76" s="8" t="s">
        <v>8</v>
      </c>
      <c r="C76" s="20">
        <v>0.14662603030969512</v>
      </c>
      <c r="D76" s="61">
        <v>0.11739538766565794</v>
      </c>
      <c r="E76" s="20">
        <v>8.6631519021806408E-2</v>
      </c>
      <c r="F76" s="61">
        <v>6.4469782092136524E-2</v>
      </c>
      <c r="G76" s="20">
        <v>5.3545111331335452E-2</v>
      </c>
      <c r="H76" s="43">
        <v>4.147398544263111E-2</v>
      </c>
      <c r="P76" s="65">
        <v>2.0669687369999998</v>
      </c>
    </row>
    <row r="77" spans="2:24" ht="15.4" thickBot="1" x14ac:dyDescent="0.5">
      <c r="B77" s="8" t="s">
        <v>9</v>
      </c>
      <c r="C77" s="20">
        <v>6.3750447960737011</v>
      </c>
      <c r="D77" s="61">
        <v>5.1041472898112143</v>
      </c>
      <c r="E77" s="20">
        <v>3.7665877835568002</v>
      </c>
      <c r="F77" s="61">
        <v>2.8030340040059358</v>
      </c>
      <c r="G77" s="20">
        <v>2.3280483187537153</v>
      </c>
      <c r="H77" s="43">
        <v>1.8032167583752656</v>
      </c>
      <c r="P77" s="65">
        <v>2.8030340040000001</v>
      </c>
    </row>
    <row r="78" spans="2:24" ht="15.4" thickBot="1" x14ac:dyDescent="0.5">
      <c r="B78" s="11" t="s">
        <v>10</v>
      </c>
      <c r="C78" s="23">
        <v>0.15713612412113404</v>
      </c>
      <c r="D78" s="62">
        <v>0.15761144360116874</v>
      </c>
      <c r="E78" s="23">
        <v>0.15811169486918641</v>
      </c>
      <c r="F78" s="62">
        <v>0.15847206687339976</v>
      </c>
      <c r="G78" s="23">
        <v>0.15864971294464114</v>
      </c>
      <c r="H78" s="63">
        <v>0.15884600152271738</v>
      </c>
      <c r="P78" s="65">
        <v>3.875065073</v>
      </c>
    </row>
    <row r="79" spans="2:24" ht="15.4" thickBot="1" x14ac:dyDescent="0.5">
      <c r="B79" s="5" t="s">
        <v>7</v>
      </c>
      <c r="C79" s="19">
        <v>2.5833333333333335</v>
      </c>
      <c r="D79" s="59">
        <v>2.9733333333333332</v>
      </c>
      <c r="E79" s="19">
        <v>3.5033333333333334</v>
      </c>
      <c r="F79" s="59">
        <v>3.9633333333333334</v>
      </c>
      <c r="G79" s="19">
        <v>4.55</v>
      </c>
      <c r="H79" s="60">
        <v>5.0766666666666671</v>
      </c>
      <c r="P79" s="65">
        <v>0.89867059000000005</v>
      </c>
    </row>
    <row r="80" spans="2:24" ht="15.4" thickBot="1" x14ac:dyDescent="0.5">
      <c r="B80" s="8" t="s">
        <v>8</v>
      </c>
      <c r="C80" s="20">
        <v>0.20978147762747135</v>
      </c>
      <c r="D80" s="61">
        <v>0.1583583019968228</v>
      </c>
      <c r="E80" s="20">
        <v>0.11406833779799221</v>
      </c>
      <c r="F80" s="61">
        <v>8.9126496670842395E-2</v>
      </c>
      <c r="G80" s="20">
        <v>6.76246830092984E-2</v>
      </c>
      <c r="H80" s="43">
        <v>5.4321373002881174E-2</v>
      </c>
      <c r="P80" s="65">
        <v>1.7685501260000001</v>
      </c>
    </row>
    <row r="81" spans="2:16" ht="15.4" thickBot="1" x14ac:dyDescent="0.5">
      <c r="B81" s="8" t="s">
        <v>9</v>
      </c>
      <c r="C81" s="20">
        <v>9.1209338098900581</v>
      </c>
      <c r="D81" s="61">
        <v>6.8851435650792521</v>
      </c>
      <c r="E81" s="20">
        <v>4.9594929477387915</v>
      </c>
      <c r="F81" s="61">
        <v>3.8750650726453215</v>
      </c>
      <c r="G81" s="23">
        <v>2.9402036090999304</v>
      </c>
      <c r="H81" s="43">
        <v>2.3617988262122251</v>
      </c>
      <c r="P81" s="65">
        <v>2.3280483190000001</v>
      </c>
    </row>
    <row r="82" spans="2:16" ht="15.4" thickBot="1" x14ac:dyDescent="0.5">
      <c r="B82" s="11" t="s">
        <v>10</v>
      </c>
      <c r="C82" s="23">
        <v>0.20468625911550467</v>
      </c>
      <c r="D82" s="62">
        <v>0.20578265264312573</v>
      </c>
      <c r="E82" s="23">
        <v>0.206726958969809</v>
      </c>
      <c r="F82" s="62">
        <v>0.20725874396448096</v>
      </c>
      <c r="G82" s="62">
        <v>0.20771718413355872</v>
      </c>
      <c r="H82" s="63">
        <v>0.20800082400620556</v>
      </c>
      <c r="P82" s="65">
        <v>2.9402036090000001</v>
      </c>
    </row>
    <row r="83" spans="2:16" ht="15.4" thickBot="1" x14ac:dyDescent="0.5">
      <c r="P83" s="65">
        <v>0.68305584399999997</v>
      </c>
    </row>
    <row r="84" spans="2:16" ht="15.4" thickBot="1" x14ac:dyDescent="0.5">
      <c r="P84" s="65">
        <v>1.2625953029999999</v>
      </c>
    </row>
    <row r="85" spans="2:16" ht="15.4" thickBot="1" x14ac:dyDescent="0.5">
      <c r="C85" s="23">
        <v>5.9854562735743903E-2</v>
      </c>
      <c r="D85" s="62">
        <v>5.9966097100361326E-2</v>
      </c>
      <c r="E85" s="23">
        <v>6.004034591992468E-2</v>
      </c>
      <c r="F85" s="62">
        <v>6.0084927771080501E-2</v>
      </c>
      <c r="G85" s="23">
        <v>6.0116279069831649E-2</v>
      </c>
      <c r="H85" s="63">
        <v>6.0146733143493253E-2</v>
      </c>
      <c r="P85" s="65">
        <v>1.803216758</v>
      </c>
    </row>
    <row r="86" spans="2:16" ht="15.4" thickBot="1" x14ac:dyDescent="0.5">
      <c r="C86" s="23">
        <v>0.10863281467357956</v>
      </c>
      <c r="D86" s="62">
        <v>0.10896393408949012</v>
      </c>
      <c r="E86" s="23">
        <v>0.109189706688087</v>
      </c>
      <c r="F86" s="62">
        <v>0.1093493113130173</v>
      </c>
      <c r="G86" s="23">
        <v>0.10942619081095041</v>
      </c>
      <c r="H86" s="63">
        <v>0.10955653641037834</v>
      </c>
      <c r="P86" s="65">
        <v>2.3617988259999998</v>
      </c>
    </row>
    <row r="87" spans="2:16" ht="14.65" thickBot="1" x14ac:dyDescent="0.5">
      <c r="C87" s="23">
        <v>0.15713612412113404</v>
      </c>
      <c r="D87" s="62">
        <v>0.15761144360116874</v>
      </c>
      <c r="E87" s="23">
        <v>0.15811169486918641</v>
      </c>
      <c r="F87" s="62">
        <v>0.15847206687339976</v>
      </c>
      <c r="G87" s="23">
        <v>0.15864971294464114</v>
      </c>
      <c r="H87" s="63">
        <v>0.15884600152271738</v>
      </c>
    </row>
    <row r="88" spans="2:16" ht="14.65" thickBot="1" x14ac:dyDescent="0.5">
      <c r="C88" s="23">
        <v>0.20468625911550467</v>
      </c>
      <c r="D88" s="62">
        <v>0.20578265264312573</v>
      </c>
      <c r="E88" s="23">
        <v>0.206726958969809</v>
      </c>
      <c r="F88" s="62">
        <v>0.20725874396448096</v>
      </c>
      <c r="G88" s="62">
        <v>0.20771718413355872</v>
      </c>
      <c r="H88" s="63">
        <v>0.20800082400620556</v>
      </c>
    </row>
  </sheetData>
  <mergeCells count="12">
    <mergeCell ref="B3:B6"/>
    <mergeCell ref="B7:B10"/>
    <mergeCell ref="B11:B14"/>
    <mergeCell ref="B15:B18"/>
    <mergeCell ref="J20:O20"/>
    <mergeCell ref="S37:S40"/>
    <mergeCell ref="S41:S44"/>
    <mergeCell ref="J26:O26"/>
    <mergeCell ref="S21:S24"/>
    <mergeCell ref="S25:S28"/>
    <mergeCell ref="S29:S32"/>
    <mergeCell ref="S33:S3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B9E9C-E25E-41ED-BCC1-98C2486AA1FE}">
  <dimension ref="B1:X79"/>
  <sheetViews>
    <sheetView topLeftCell="G16" zoomScale="66" zoomScaleNormal="66" workbookViewId="0">
      <selection activeCell="L32" sqref="L32"/>
    </sheetView>
  </sheetViews>
  <sheetFormatPr defaultRowHeight="14.25" x14ac:dyDescent="0.45"/>
  <cols>
    <col min="1" max="1" width="12.53125" customWidth="1"/>
    <col min="2" max="2" width="13.19921875" customWidth="1"/>
    <col min="3" max="3" width="27.6640625" customWidth="1"/>
    <col min="4" max="4" width="27.46484375" customWidth="1"/>
    <col min="5" max="5" width="26" customWidth="1"/>
    <col min="6" max="6" width="26.46484375" customWidth="1"/>
    <col min="7" max="7" width="24.796875" customWidth="1"/>
    <col min="8" max="8" width="21.46484375" customWidth="1"/>
    <col min="9" max="9" width="18.6640625" bestFit="1" customWidth="1"/>
    <col min="11" max="11" width="12" bestFit="1" customWidth="1"/>
    <col min="12" max="13" width="9.46484375" bestFit="1" customWidth="1"/>
    <col min="14" max="14" width="11.19921875" customWidth="1"/>
    <col min="15" max="16" width="9.46484375" bestFit="1" customWidth="1"/>
    <col min="21" max="21" width="10.1328125" customWidth="1"/>
    <col min="23" max="23" width="10.19921875" bestFit="1" customWidth="1"/>
  </cols>
  <sheetData>
    <row r="1" spans="2:16" ht="14.65" thickBot="1" x14ac:dyDescent="0.5"/>
    <row r="2" spans="2:16" ht="14.65" thickBot="1" x14ac:dyDescent="0.5">
      <c r="B2" s="1" t="s">
        <v>0</v>
      </c>
      <c r="C2" s="2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4" t="s">
        <v>6</v>
      </c>
      <c r="J2" t="s">
        <v>68</v>
      </c>
      <c r="K2" t="s">
        <v>67</v>
      </c>
      <c r="M2" t="s">
        <v>11</v>
      </c>
      <c r="N2" t="s">
        <v>12</v>
      </c>
      <c r="O2" t="s">
        <v>13</v>
      </c>
      <c r="P2" t="s">
        <v>14</v>
      </c>
    </row>
    <row r="3" spans="2:16" x14ac:dyDescent="0.45">
      <c r="B3" s="52">
        <v>267</v>
      </c>
      <c r="C3" s="5">
        <v>4.8499999999999996</v>
      </c>
      <c r="D3" s="6">
        <v>5.75</v>
      </c>
      <c r="E3" s="6">
        <v>6.6</v>
      </c>
      <c r="F3" s="6">
        <v>7.65</v>
      </c>
      <c r="G3" s="6">
        <v>8.5299999999999994</v>
      </c>
      <c r="H3" s="7">
        <v>9.5299999999999994</v>
      </c>
      <c r="I3">
        <f>C3-$C$6</f>
        <v>7.6666666666666217E-2</v>
      </c>
      <c r="J3">
        <f>SQRT(SUMSQ(I3:I5)/6)</f>
        <v>3.9299420408505259E-2</v>
      </c>
      <c r="K3">
        <f>J3*4.30265272991127</f>
        <v>0.16909175850458583</v>
      </c>
      <c r="M3">
        <v>0.7</v>
      </c>
      <c r="N3">
        <v>4.5999999999999999E-2</v>
      </c>
      <c r="O3">
        <v>9.81</v>
      </c>
      <c r="P3">
        <f>0.0005*SQRT(2)*2/3</f>
        <v>4.7140452079103175E-4</v>
      </c>
    </row>
    <row r="4" spans="2:16" x14ac:dyDescent="0.45">
      <c r="B4" s="53"/>
      <c r="C4" s="8">
        <v>4.72</v>
      </c>
      <c r="D4" s="9">
        <v>5.72</v>
      </c>
      <c r="E4" s="9">
        <v>6.46</v>
      </c>
      <c r="F4" s="9">
        <v>7.63</v>
      </c>
      <c r="G4" s="9">
        <v>8.56</v>
      </c>
      <c r="H4" s="10">
        <v>9.3699999999999992</v>
      </c>
      <c r="I4">
        <f>C4-$C$6</f>
        <v>-5.3333333333333677E-2</v>
      </c>
    </row>
    <row r="5" spans="2:16" x14ac:dyDescent="0.45">
      <c r="B5" s="53"/>
      <c r="C5" s="8">
        <v>4.75</v>
      </c>
      <c r="D5" s="9">
        <v>5.64</v>
      </c>
      <c r="E5" s="9">
        <v>6.56</v>
      </c>
      <c r="F5" s="9">
        <v>7.5</v>
      </c>
      <c r="G5" s="9">
        <v>8.3800000000000008</v>
      </c>
      <c r="H5" s="10">
        <v>9.4700000000000006</v>
      </c>
      <c r="I5">
        <f>C5-$C$6</f>
        <v>-2.3333333333333428E-2</v>
      </c>
    </row>
    <row r="6" spans="2:16" ht="14.65" thickBot="1" x14ac:dyDescent="0.5">
      <c r="B6" s="54"/>
      <c r="C6" s="11">
        <f t="shared" ref="C6:H6" si="0">AVERAGE(C3:C5)</f>
        <v>4.7733333333333334</v>
      </c>
      <c r="D6" s="12">
        <f t="shared" si="0"/>
        <v>5.7033333333333331</v>
      </c>
      <c r="E6" s="12">
        <f t="shared" si="0"/>
        <v>6.5399999999999991</v>
      </c>
      <c r="F6" s="12">
        <f t="shared" si="0"/>
        <v>7.5933333333333337</v>
      </c>
      <c r="G6" s="12">
        <f t="shared" si="0"/>
        <v>8.49</v>
      </c>
      <c r="H6" s="13">
        <f t="shared" si="0"/>
        <v>9.4566666666666652</v>
      </c>
    </row>
    <row r="7" spans="2:16" x14ac:dyDescent="0.45">
      <c r="B7" s="55">
        <v>487</v>
      </c>
      <c r="C7" s="5">
        <v>3.53</v>
      </c>
      <c r="D7" s="6">
        <v>4.17</v>
      </c>
      <c r="E7" s="6">
        <v>4.88</v>
      </c>
      <c r="F7" s="6">
        <v>5.49</v>
      </c>
      <c r="G7" s="6">
        <v>5.97</v>
      </c>
      <c r="H7" s="7">
        <v>6.91</v>
      </c>
    </row>
    <row r="8" spans="2:16" x14ac:dyDescent="0.45">
      <c r="B8" s="53"/>
      <c r="C8" s="8">
        <v>3.41</v>
      </c>
      <c r="D8" s="9">
        <v>4.16</v>
      </c>
      <c r="E8" s="9">
        <v>4.8099999999999996</v>
      </c>
      <c r="F8" s="9">
        <v>5.53</v>
      </c>
      <c r="G8" s="9">
        <v>6.25</v>
      </c>
      <c r="H8" s="10">
        <v>6.72</v>
      </c>
    </row>
    <row r="9" spans="2:16" x14ac:dyDescent="0.45">
      <c r="B9" s="53"/>
      <c r="C9" s="8">
        <v>3.47</v>
      </c>
      <c r="D9" s="9">
        <v>4.1500000000000004</v>
      </c>
      <c r="E9" s="9">
        <v>4.72</v>
      </c>
      <c r="F9" s="9">
        <v>5.6</v>
      </c>
      <c r="G9" s="9">
        <v>6.22</v>
      </c>
      <c r="H9" s="10">
        <v>7.03</v>
      </c>
    </row>
    <row r="10" spans="2:16" ht="14.65" thickBot="1" x14ac:dyDescent="0.5">
      <c r="B10" s="54"/>
      <c r="C10" s="11">
        <f t="shared" ref="C10:H10" si="1">AVERAGE(C7:C9)</f>
        <v>3.47</v>
      </c>
      <c r="D10" s="12">
        <f t="shared" si="1"/>
        <v>4.16</v>
      </c>
      <c r="E10" s="12">
        <f t="shared" si="1"/>
        <v>4.8033333333333337</v>
      </c>
      <c r="F10" s="12">
        <f t="shared" si="1"/>
        <v>5.5399999999999991</v>
      </c>
      <c r="G10" s="12">
        <f t="shared" si="1"/>
        <v>6.1466666666666656</v>
      </c>
      <c r="H10" s="13">
        <f t="shared" si="1"/>
        <v>6.8866666666666667</v>
      </c>
    </row>
    <row r="11" spans="2:16" x14ac:dyDescent="0.45">
      <c r="B11" s="55">
        <v>707</v>
      </c>
      <c r="C11" s="5">
        <v>2.93</v>
      </c>
      <c r="D11" s="6">
        <v>3.5</v>
      </c>
      <c r="E11" s="6">
        <v>4.07</v>
      </c>
      <c r="F11" s="6">
        <v>4.5999999999999996</v>
      </c>
      <c r="G11" s="6">
        <v>5.0999999999999996</v>
      </c>
      <c r="H11" s="7">
        <v>5.71</v>
      </c>
    </row>
    <row r="12" spans="2:16" x14ac:dyDescent="0.45">
      <c r="B12" s="53"/>
      <c r="C12" s="8">
        <v>2.93</v>
      </c>
      <c r="D12" s="9">
        <v>3.22</v>
      </c>
      <c r="E12" s="9">
        <v>4</v>
      </c>
      <c r="F12" s="9">
        <v>4.53</v>
      </c>
      <c r="G12" s="9">
        <v>5.09</v>
      </c>
      <c r="H12" s="10">
        <v>5.94</v>
      </c>
    </row>
    <row r="13" spans="2:16" x14ac:dyDescent="0.45">
      <c r="B13" s="53"/>
      <c r="C13" s="8">
        <v>2.91</v>
      </c>
      <c r="D13" s="9">
        <v>3.25</v>
      </c>
      <c r="E13" s="9">
        <v>3.94</v>
      </c>
      <c r="F13" s="9">
        <v>4.47</v>
      </c>
      <c r="G13" s="9">
        <v>5.0599999999999996</v>
      </c>
      <c r="H13" s="10">
        <v>5.81</v>
      </c>
    </row>
    <row r="14" spans="2:16" ht="14.65" thickBot="1" x14ac:dyDescent="0.5">
      <c r="B14" s="54"/>
      <c r="C14" s="11">
        <f t="shared" ref="C14:H14" si="2">AVERAGE(C11:C13)</f>
        <v>2.9233333333333333</v>
      </c>
      <c r="D14" s="12">
        <f t="shared" si="2"/>
        <v>3.3233333333333337</v>
      </c>
      <c r="E14" s="12">
        <f t="shared" si="2"/>
        <v>4.003333333333333</v>
      </c>
      <c r="F14" s="12">
        <f t="shared" si="2"/>
        <v>4.5333333333333323</v>
      </c>
      <c r="G14" s="12">
        <f t="shared" si="2"/>
        <v>5.083333333333333</v>
      </c>
      <c r="H14" s="13">
        <f t="shared" si="2"/>
        <v>5.82</v>
      </c>
    </row>
    <row r="15" spans="2:16" x14ac:dyDescent="0.45">
      <c r="B15" s="55">
        <v>927</v>
      </c>
      <c r="C15" s="5">
        <v>2.75</v>
      </c>
      <c r="D15" s="6">
        <v>3.16</v>
      </c>
      <c r="E15" s="6">
        <v>3.53</v>
      </c>
      <c r="F15" s="14">
        <v>4.21</v>
      </c>
      <c r="G15" s="14">
        <v>4.59</v>
      </c>
      <c r="H15" s="7">
        <v>5</v>
      </c>
    </row>
    <row r="16" spans="2:16" x14ac:dyDescent="0.45">
      <c r="B16" s="53"/>
      <c r="C16" s="8">
        <v>2.63</v>
      </c>
      <c r="D16" s="9">
        <v>3.12</v>
      </c>
      <c r="E16" s="9">
        <v>3.37</v>
      </c>
      <c r="F16" s="15">
        <v>3.9</v>
      </c>
      <c r="G16" s="15">
        <v>4.5</v>
      </c>
      <c r="H16" s="10">
        <v>4.87</v>
      </c>
    </row>
    <row r="17" spans="2:24" x14ac:dyDescent="0.45">
      <c r="B17" s="53"/>
      <c r="C17" s="8">
        <v>2.59</v>
      </c>
      <c r="D17" s="9">
        <v>3.03</v>
      </c>
      <c r="E17" s="9">
        <v>3.44</v>
      </c>
      <c r="F17" s="15">
        <v>4.09</v>
      </c>
      <c r="G17" s="15">
        <v>4.47</v>
      </c>
      <c r="H17" s="10">
        <v>4.84</v>
      </c>
    </row>
    <row r="18" spans="2:24" ht="14.65" thickBot="1" x14ac:dyDescent="0.5">
      <c r="B18" s="56"/>
      <c r="C18" s="11">
        <f t="shared" ref="C18:H18" si="3">AVERAGE(C15:C17)</f>
        <v>2.6566666666666667</v>
      </c>
      <c r="D18" s="12">
        <f t="shared" si="3"/>
        <v>3.1033333333333335</v>
      </c>
      <c r="E18" s="12">
        <f t="shared" si="3"/>
        <v>3.4466666666666668</v>
      </c>
      <c r="F18" s="16">
        <f t="shared" si="3"/>
        <v>4.0666666666666664</v>
      </c>
      <c r="G18" s="16">
        <f t="shared" si="3"/>
        <v>4.5199999999999996</v>
      </c>
      <c r="H18" s="13">
        <f t="shared" si="3"/>
        <v>4.9033333333333333</v>
      </c>
    </row>
    <row r="19" spans="2:24" ht="14.65" thickBot="1" x14ac:dyDescent="0.5"/>
    <row r="20" spans="2:24" ht="14.65" thickBot="1" x14ac:dyDescent="0.5">
      <c r="B20" s="1"/>
      <c r="C20" s="2" t="s">
        <v>1</v>
      </c>
      <c r="D20" s="3" t="s">
        <v>2</v>
      </c>
      <c r="E20" s="3" t="s">
        <v>3</v>
      </c>
      <c r="F20" s="3" t="s">
        <v>4</v>
      </c>
      <c r="G20" s="3" t="s">
        <v>5</v>
      </c>
      <c r="H20" s="4" t="s">
        <v>6</v>
      </c>
      <c r="J20" s="58" t="s">
        <v>66</v>
      </c>
      <c r="K20" s="58"/>
      <c r="L20" s="58"/>
      <c r="M20" s="58"/>
      <c r="N20" s="58"/>
      <c r="O20" s="58"/>
      <c r="T20" s="19" t="s">
        <v>7</v>
      </c>
      <c r="U20" s="20" t="s">
        <v>8</v>
      </c>
      <c r="V20" s="20" t="s">
        <v>9</v>
      </c>
      <c r="W20" s="21" t="s">
        <v>10</v>
      </c>
      <c r="X20" s="43" t="s">
        <v>65</v>
      </c>
    </row>
    <row r="21" spans="2:24" x14ac:dyDescent="0.45">
      <c r="B21" s="19" t="s">
        <v>7</v>
      </c>
      <c r="C21" s="5">
        <f t="shared" ref="C21:H21" si="4">C6</f>
        <v>4.7733333333333334</v>
      </c>
      <c r="D21" s="6">
        <f t="shared" si="4"/>
        <v>5.7033333333333331</v>
      </c>
      <c r="E21" s="6">
        <f t="shared" si="4"/>
        <v>6.5399999999999991</v>
      </c>
      <c r="F21" s="6">
        <f t="shared" si="4"/>
        <v>7.5933333333333337</v>
      </c>
      <c r="G21" s="6">
        <f t="shared" si="4"/>
        <v>8.49</v>
      </c>
      <c r="H21" s="7">
        <f t="shared" si="4"/>
        <v>9.4566666666666652</v>
      </c>
      <c r="J21" t="s">
        <v>63</v>
      </c>
      <c r="K21" s="41">
        <f>$M$3*$K$3/C21^3</f>
        <v>1.0883164433127992E-3</v>
      </c>
      <c r="L21" s="41" t="s">
        <v>62</v>
      </c>
      <c r="M21" s="41">
        <f>SQRT((2*K21/$N$3)^2+(2*C22*0.0005*2/3/$N$3^2)^2)</f>
        <v>5.1124992461015595E-2</v>
      </c>
      <c r="N21" s="41" t="s">
        <v>61</v>
      </c>
      <c r="O21" s="41">
        <f>SQRT(($N$3*($O$3-U21)/2*2/3*0.0005*SQRT(2))^2 + (R21/1000*($O$3-U21)/2*2/3*0.0005)^2 + (R21/1000*$N$3/2*K21)^2)</f>
        <v>4.4655146744246093E-4</v>
      </c>
      <c r="P21" s="41"/>
      <c r="R21" s="38">
        <v>267</v>
      </c>
      <c r="S21" s="57" t="s">
        <v>1</v>
      </c>
      <c r="T21" s="42">
        <f>C21</f>
        <v>4.7733333333333334</v>
      </c>
      <c r="U21">
        <f t="shared" ref="U21:U44" si="5">2*$M$3/T21^2</f>
        <v>6.1444711463437468E-2</v>
      </c>
      <c r="V21">
        <f t="shared" ref="V21:V44" si="6">2*U21/$N$3</f>
        <v>2.6715091940624989</v>
      </c>
      <c r="W21">
        <f t="shared" ref="W21:W44" si="7">R21*$N$3*($O$3-U21)/2000</f>
        <v>5.9865878026903033E-2</v>
      </c>
      <c r="X21">
        <f>$C$42+$C$41*V21</f>
        <v>5.573236106350328E-2</v>
      </c>
    </row>
    <row r="22" spans="2:24" x14ac:dyDescent="0.45">
      <c r="B22" s="20" t="s">
        <v>8</v>
      </c>
      <c r="C22" s="8">
        <f t="shared" ref="C22:H22" si="8">2*$M$3/C21^2</f>
        <v>6.1444711463437468E-2</v>
      </c>
      <c r="D22" s="9">
        <f t="shared" si="8"/>
        <v>4.3039827895342171E-2</v>
      </c>
      <c r="E22" s="9">
        <f t="shared" si="8"/>
        <v>3.2731999738144009E-2</v>
      </c>
      <c r="F22" s="9">
        <f t="shared" si="8"/>
        <v>2.4280806369433621E-2</v>
      </c>
      <c r="G22" s="9">
        <f t="shared" si="8"/>
        <v>1.9422836538795032E-2</v>
      </c>
      <c r="H22" s="10">
        <f t="shared" si="8"/>
        <v>1.5654956800395206E-2</v>
      </c>
      <c r="J22" t="s">
        <v>60</v>
      </c>
      <c r="K22" s="41">
        <f>$M$3*$K$3/C25^3</f>
        <v>2.8329052962260746E-3</v>
      </c>
      <c r="L22" s="41" t="s">
        <v>59</v>
      </c>
      <c r="M22" s="41">
        <f>SQRT((2*K22/$N$3)^2+(2*C26*0.0005*2/3/$N$3^2)^2)</f>
        <v>0.12850179539235349</v>
      </c>
      <c r="N22" s="41" t="s">
        <v>58</v>
      </c>
      <c r="O22" s="41">
        <f>SQRT(($N$3*($O$3-U22)/2*2/3*0.0005*SQRT(2))^2 + (R22/1000*($O$3-U22)/2*2/3*0.0005)^2 + (R22/1000*$N$3/2*K22)^2)</f>
        <v>7.9443047303430329E-4</v>
      </c>
      <c r="R22" s="34">
        <v>487</v>
      </c>
      <c r="S22" s="57"/>
      <c r="T22">
        <f>C10</f>
        <v>3.47</v>
      </c>
      <c r="U22">
        <f t="shared" si="5"/>
        <v>0.11627037846008187</v>
      </c>
      <c r="V22">
        <f t="shared" si="6"/>
        <v>5.0552338460905162</v>
      </c>
      <c r="W22">
        <f t="shared" si="7"/>
        <v>0.10857946549086864</v>
      </c>
      <c r="X22">
        <f>$C$42+$C$41*V22</f>
        <v>0.11301568629879444</v>
      </c>
    </row>
    <row r="23" spans="2:24" x14ac:dyDescent="0.45">
      <c r="B23" s="20" t="s">
        <v>9</v>
      </c>
      <c r="C23" s="8">
        <f t="shared" ref="C23:H23" si="9">2*C22/$N$3</f>
        <v>2.6715091940624989</v>
      </c>
      <c r="D23" s="9">
        <f t="shared" si="9"/>
        <v>1.8712968650148771</v>
      </c>
      <c r="E23" s="9">
        <f t="shared" si="9"/>
        <v>1.4231304233975657</v>
      </c>
      <c r="F23" s="9">
        <f t="shared" si="9"/>
        <v>1.0556872334536358</v>
      </c>
      <c r="G23" s="9">
        <f t="shared" si="9"/>
        <v>0.84447115386065352</v>
      </c>
      <c r="H23" s="10">
        <f t="shared" si="9"/>
        <v>0.68065029566935675</v>
      </c>
      <c r="J23" t="s">
        <v>57</v>
      </c>
      <c r="K23" s="41">
        <f>$M$3*$K$3/C29^3</f>
        <v>4.7378953599958923E-3</v>
      </c>
      <c r="L23" s="41" t="s">
        <v>56</v>
      </c>
      <c r="M23" s="41">
        <f>SQRT((2*K23/$N$3)^2+(2*C30*0.0005*2/3/$N$3^2)^2)</f>
        <v>0.21236311542119624</v>
      </c>
      <c r="N23" s="41" t="s">
        <v>55</v>
      </c>
      <c r="O23" s="41">
        <f>SQRT(($N$3*($O$3-U23)/2*2/3*0.0005*SQRT(2))^2 + (R23/1000*($O$3-U23)/2*2/3*0.0005)^2 + (R23/1000*$N$3/2*K23)^2)</f>
        <v>1.1440400163196041E-3</v>
      </c>
      <c r="R23" s="33">
        <v>707</v>
      </c>
      <c r="S23" s="57"/>
      <c r="T23">
        <f>C14</f>
        <v>2.9233333333333333</v>
      </c>
      <c r="U23">
        <f t="shared" si="5"/>
        <v>0.16382167360741826</v>
      </c>
      <c r="V23">
        <f t="shared" si="6"/>
        <v>7.1226814611920979</v>
      </c>
      <c r="W23">
        <f t="shared" si="7"/>
        <v>0.15685650576546978</v>
      </c>
      <c r="X23">
        <f>$C$42+$C$41*V23</f>
        <v>0.16269855300155445</v>
      </c>
    </row>
    <row r="24" spans="2:24" ht="14.65" thickBot="1" x14ac:dyDescent="0.5">
      <c r="B24" s="21" t="s">
        <v>10</v>
      </c>
      <c r="C24" s="11">
        <f t="shared" ref="C24:H24" si="10">$B$3*$N$3*($O$3-C22)/2/1000</f>
        <v>5.9865878026903033E-2</v>
      </c>
      <c r="D24" s="11">
        <f t="shared" si="10"/>
        <v>5.9978902416894707E-2</v>
      </c>
      <c r="E24" s="11">
        <f t="shared" si="10"/>
        <v>6.0042202789608055E-2</v>
      </c>
      <c r="F24" s="11">
        <f t="shared" si="10"/>
        <v>6.0094101568085305E-2</v>
      </c>
      <c r="G24" s="11">
        <f t="shared" si="10"/>
        <v>6.012393436081527E-2</v>
      </c>
      <c r="H24" s="23">
        <f t="shared" si="10"/>
        <v>6.0147072910288778E-2</v>
      </c>
      <c r="J24" t="s">
        <v>54</v>
      </c>
      <c r="K24" s="41">
        <f>$M$3*$K$3/C33^3</f>
        <v>6.3126146762410339E-3</v>
      </c>
      <c r="L24" s="41" t="s">
        <v>53</v>
      </c>
      <c r="M24" s="41">
        <f>SQRT((2*K24/$N$3)^2+(2*C34*0.0005*2/3/$N$3^2)^2)</f>
        <v>0.28148672246658973</v>
      </c>
      <c r="N24" s="41" t="s">
        <v>52</v>
      </c>
      <c r="O24" s="41">
        <f>SQRT(($N$3*($O$3-U24)/2*2/3*0.0005*SQRT(2))^2 + (R24/1000*($O$3-U24)/2*2/3*0.0005)^2 + (R24/1000*$N$3/2*K24)^2)</f>
        <v>1.494722464184487E-3</v>
      </c>
      <c r="R24" s="32">
        <v>927</v>
      </c>
      <c r="S24" s="57"/>
      <c r="T24">
        <f>C18</f>
        <v>2.6566666666666667</v>
      </c>
      <c r="U24">
        <f t="shared" si="5"/>
        <v>0.19835990988792665</v>
      </c>
      <c r="V24">
        <f t="shared" si="6"/>
        <v>8.624343908170724</v>
      </c>
      <c r="W24">
        <f t="shared" si="7"/>
        <v>0.20492977836127951</v>
      </c>
      <c r="X24">
        <f>$C$42+$C$41*V24</f>
        <v>0.19878502728066877</v>
      </c>
    </row>
    <row r="25" spans="2:24" x14ac:dyDescent="0.45">
      <c r="B25" s="22" t="s">
        <v>7</v>
      </c>
      <c r="C25" s="5">
        <f t="shared" ref="C25:H25" si="11">C10</f>
        <v>3.47</v>
      </c>
      <c r="D25" s="6">
        <f t="shared" si="11"/>
        <v>4.16</v>
      </c>
      <c r="E25" s="6">
        <f t="shared" si="11"/>
        <v>4.8033333333333337</v>
      </c>
      <c r="F25" s="6">
        <f t="shared" si="11"/>
        <v>5.5399999999999991</v>
      </c>
      <c r="G25" s="6">
        <f t="shared" si="11"/>
        <v>6.1466666666666656</v>
      </c>
      <c r="H25" s="7">
        <f t="shared" si="11"/>
        <v>6.8866666666666667</v>
      </c>
      <c r="R25" s="38">
        <v>267</v>
      </c>
      <c r="S25" s="57" t="s">
        <v>2</v>
      </c>
      <c r="T25">
        <f>D6</f>
        <v>5.7033333333333331</v>
      </c>
      <c r="U25">
        <f t="shared" si="5"/>
        <v>4.3039827895342171E-2</v>
      </c>
      <c r="V25">
        <f t="shared" si="6"/>
        <v>1.8712968650148771</v>
      </c>
      <c r="W25">
        <f t="shared" si="7"/>
        <v>5.9978902416894707E-2</v>
      </c>
      <c r="X25">
        <f>$D$42+$D$41*V25</f>
        <v>5.7768933375348025E-2</v>
      </c>
    </row>
    <row r="26" spans="2:24" x14ac:dyDescent="0.45">
      <c r="B26" s="20" t="s">
        <v>8</v>
      </c>
      <c r="C26" s="8">
        <f t="shared" ref="C26:H26" si="12">2*$M$3/C25^2</f>
        <v>0.11627037846008187</v>
      </c>
      <c r="D26" s="9">
        <f t="shared" si="12"/>
        <v>8.0898668639053234E-2</v>
      </c>
      <c r="E26" s="9">
        <f t="shared" si="12"/>
        <v>6.067958242815609E-2</v>
      </c>
      <c r="F26" s="9">
        <f t="shared" si="12"/>
        <v>4.5615086864158286E-2</v>
      </c>
      <c r="G26" s="9">
        <f t="shared" si="12"/>
        <v>3.7055161607558791E-2</v>
      </c>
      <c r="H26" s="10">
        <f t="shared" si="12"/>
        <v>2.9519562098381667E-2</v>
      </c>
      <c r="J26" s="58" t="s">
        <v>64</v>
      </c>
      <c r="K26" s="58"/>
      <c r="L26" s="58"/>
      <c r="M26" s="58"/>
      <c r="N26" s="58"/>
      <c r="O26" s="58"/>
      <c r="R26" s="34">
        <v>487</v>
      </c>
      <c r="S26" s="57"/>
      <c r="T26">
        <f>D10</f>
        <v>4.16</v>
      </c>
      <c r="U26">
        <f t="shared" si="5"/>
        <v>8.0898668639053234E-2</v>
      </c>
      <c r="V26">
        <f t="shared" si="6"/>
        <v>3.5173334190892711</v>
      </c>
      <c r="W26">
        <f t="shared" si="7"/>
        <v>0.10897566401257397</v>
      </c>
      <c r="X26">
        <f>$D$42+$D$41*V26</f>
        <v>0.10873002026939309</v>
      </c>
    </row>
    <row r="27" spans="2:24" x14ac:dyDescent="0.45">
      <c r="B27" s="20" t="s">
        <v>9</v>
      </c>
      <c r="C27" s="8">
        <f t="shared" ref="C27:H27" si="13">2*C26/$N$3</f>
        <v>5.0552338460905162</v>
      </c>
      <c r="D27" s="9">
        <f t="shared" si="13"/>
        <v>3.5173334190892711</v>
      </c>
      <c r="E27" s="9">
        <f t="shared" si="13"/>
        <v>2.6382427142676561</v>
      </c>
      <c r="F27" s="9">
        <f t="shared" si="13"/>
        <v>1.9832646462677517</v>
      </c>
      <c r="G27" s="9">
        <f t="shared" si="13"/>
        <v>1.6110939829373387</v>
      </c>
      <c r="H27" s="10">
        <f t="shared" si="13"/>
        <v>1.2834592216687681</v>
      </c>
      <c r="J27" t="s">
        <v>63</v>
      </c>
      <c r="K27" s="41">
        <f>K21/U21</f>
        <v>1.7712125541681473E-2</v>
      </c>
      <c r="L27" s="41" t="s">
        <v>62</v>
      </c>
      <c r="M27" s="41">
        <f>M21/V21</f>
        <v>1.9137120162132426E-2</v>
      </c>
      <c r="N27" s="41" t="s">
        <v>61</v>
      </c>
      <c r="O27" s="41">
        <f>O21/W21</f>
        <v>7.4591984977115987E-3</v>
      </c>
      <c r="R27" s="33">
        <v>707</v>
      </c>
      <c r="S27" s="57"/>
      <c r="T27">
        <f>D14</f>
        <v>3.3233333333333337</v>
      </c>
      <c r="U27">
        <f t="shared" si="5"/>
        <v>0.12675941565921431</v>
      </c>
      <c r="V27">
        <f t="shared" si="6"/>
        <v>5.5112789417049699</v>
      </c>
      <c r="W27">
        <f t="shared" si="7"/>
        <v>0.15745917514196553</v>
      </c>
      <c r="X27">
        <f>$D$42+$D$41*V27</f>
        <v>0.17046232553836721</v>
      </c>
    </row>
    <row r="28" spans="2:24" ht="14.65" thickBot="1" x14ac:dyDescent="0.5">
      <c r="B28" s="21" t="s">
        <v>10</v>
      </c>
      <c r="C28" s="11">
        <f t="shared" ref="C28:H28" si="14">$B$7*$N$3*($O$3-C26)/2000</f>
        <v>0.10857946549086864</v>
      </c>
      <c r="D28" s="11">
        <f t="shared" si="14"/>
        <v>0.10897566401257397</v>
      </c>
      <c r="E28" s="11">
        <f t="shared" si="14"/>
        <v>0.10920213799722224</v>
      </c>
      <c r="F28" s="11">
        <f t="shared" si="14"/>
        <v>0.10937087541203458</v>
      </c>
      <c r="G28" s="11">
        <f t="shared" si="14"/>
        <v>0.10946675513483374</v>
      </c>
      <c r="H28" s="23">
        <f t="shared" si="14"/>
        <v>0.10955116138493605</v>
      </c>
      <c r="J28" t="s">
        <v>60</v>
      </c>
      <c r="K28" s="41">
        <f>K22/U22</f>
        <v>2.4364806700948961E-2</v>
      </c>
      <c r="L28" s="41" t="s">
        <v>59</v>
      </c>
      <c r="M28" s="41">
        <f>M22/V22</f>
        <v>2.5419555119439396E-2</v>
      </c>
      <c r="N28" s="41" t="s">
        <v>58</v>
      </c>
      <c r="O28" s="41">
        <f>O22/W22</f>
        <v>7.3165811734550645E-3</v>
      </c>
      <c r="R28" s="32">
        <v>927</v>
      </c>
      <c r="S28" s="57"/>
      <c r="T28">
        <f>D18</f>
        <v>3.1033333333333335</v>
      </c>
      <c r="U28">
        <f t="shared" si="5"/>
        <v>0.14536879255065696</v>
      </c>
      <c r="V28">
        <f t="shared" si="6"/>
        <v>6.3203822848111724</v>
      </c>
      <c r="W28">
        <f t="shared" si="7"/>
        <v>0.20605960197402742</v>
      </c>
      <c r="X28">
        <f>$D$42+$D$41*V28</f>
        <v>0.19551206436235327</v>
      </c>
    </row>
    <row r="29" spans="2:24" x14ac:dyDescent="0.45">
      <c r="B29" s="22" t="s">
        <v>7</v>
      </c>
      <c r="C29" s="5">
        <f t="shared" ref="C29:H29" si="15">C14</f>
        <v>2.9233333333333333</v>
      </c>
      <c r="D29" s="6">
        <f t="shared" si="15"/>
        <v>3.3233333333333337</v>
      </c>
      <c r="E29" s="6">
        <f t="shared" si="15"/>
        <v>4.003333333333333</v>
      </c>
      <c r="F29" s="6">
        <f t="shared" si="15"/>
        <v>4.5333333333333323</v>
      </c>
      <c r="G29" s="6">
        <f t="shared" si="15"/>
        <v>5.083333333333333</v>
      </c>
      <c r="H29" s="7">
        <f t="shared" si="15"/>
        <v>5.82</v>
      </c>
      <c r="J29" t="s">
        <v>57</v>
      </c>
      <c r="K29" s="41">
        <f>K23/U23</f>
        <v>2.8921053336018101E-2</v>
      </c>
      <c r="L29" s="41" t="s">
        <v>56</v>
      </c>
      <c r="M29" s="41">
        <f>M23/V23</f>
        <v>2.9815051617604386E-2</v>
      </c>
      <c r="N29" s="41" t="s">
        <v>55</v>
      </c>
      <c r="O29" s="41">
        <f>O23/W23</f>
        <v>7.2935452102328539E-3</v>
      </c>
      <c r="R29" s="38">
        <v>267</v>
      </c>
      <c r="S29" s="57" t="s">
        <v>3</v>
      </c>
      <c r="T29">
        <f>E6</f>
        <v>6.5399999999999991</v>
      </c>
      <c r="U29">
        <f t="shared" si="5"/>
        <v>3.2731999738144009E-2</v>
      </c>
      <c r="V29">
        <f t="shared" si="6"/>
        <v>1.4231304233975657</v>
      </c>
      <c r="W29">
        <f t="shared" si="7"/>
        <v>6.0042202789608055E-2</v>
      </c>
      <c r="X29">
        <f>$E$42+$E$41*V29</f>
        <v>6.0911294751012264E-2</v>
      </c>
    </row>
    <row r="30" spans="2:24" x14ac:dyDescent="0.45">
      <c r="B30" s="20" t="s">
        <v>8</v>
      </c>
      <c r="C30" s="8">
        <f t="shared" ref="C30:H30" si="16">2*$M$3/C29^2</f>
        <v>0.16382167360741826</v>
      </c>
      <c r="D30" s="9">
        <f t="shared" si="16"/>
        <v>0.12675941565921431</v>
      </c>
      <c r="E30" s="9">
        <f t="shared" si="16"/>
        <v>8.7354348755997832E-2</v>
      </c>
      <c r="F30" s="9">
        <f t="shared" si="16"/>
        <v>6.8122837370242245E-2</v>
      </c>
      <c r="G30" s="9">
        <f t="shared" si="16"/>
        <v>5.4178984144047301E-2</v>
      </c>
      <c r="H30" s="10">
        <f t="shared" si="16"/>
        <v>4.1331585597713764E-2</v>
      </c>
      <c r="J30" t="s">
        <v>54</v>
      </c>
      <c r="K30" s="41">
        <f>K24/U24</f>
        <v>3.1824044887939613E-2</v>
      </c>
      <c r="L30" s="41" t="s">
        <v>53</v>
      </c>
      <c r="M30" s="41">
        <f>M24/V24</f>
        <v>3.2638624510313012E-2</v>
      </c>
      <c r="N30" s="41" t="s">
        <v>52</v>
      </c>
      <c r="O30" s="41">
        <f>O24/W24</f>
        <v>7.2938275546727844E-3</v>
      </c>
      <c r="R30" s="34">
        <v>487</v>
      </c>
      <c r="S30" s="57"/>
      <c r="T30">
        <f>E10</f>
        <v>4.8033333333333337</v>
      </c>
      <c r="U30">
        <f t="shared" si="5"/>
        <v>6.067958242815609E-2</v>
      </c>
      <c r="V30">
        <f t="shared" si="6"/>
        <v>2.6382427142676561</v>
      </c>
      <c r="W30">
        <f t="shared" si="7"/>
        <v>0.10920213799722224</v>
      </c>
      <c r="X30">
        <f>$E$42+$E$41*V30</f>
        <v>0.1093015067579671</v>
      </c>
    </row>
    <row r="31" spans="2:24" x14ac:dyDescent="0.45">
      <c r="B31" s="20" t="s">
        <v>9</v>
      </c>
      <c r="C31" s="8">
        <f t="shared" ref="C31:H31" si="17">2*C30/$N$3</f>
        <v>7.1226814611920979</v>
      </c>
      <c r="D31" s="9">
        <f t="shared" si="17"/>
        <v>5.5112789417049699</v>
      </c>
      <c r="E31" s="9">
        <f t="shared" si="17"/>
        <v>3.7980151633042536</v>
      </c>
      <c r="F31" s="9">
        <f t="shared" si="17"/>
        <v>2.9618624943583587</v>
      </c>
      <c r="G31" s="9">
        <f t="shared" si="17"/>
        <v>2.3556080062629263</v>
      </c>
      <c r="H31" s="10">
        <f t="shared" si="17"/>
        <v>1.7970254607701637</v>
      </c>
      <c r="R31" s="33">
        <v>707</v>
      </c>
      <c r="S31" s="57"/>
      <c r="T31">
        <f>E14</f>
        <v>4.003333333333333</v>
      </c>
      <c r="U31">
        <f t="shared" si="5"/>
        <v>8.7354348755997832E-2</v>
      </c>
      <c r="V31">
        <f t="shared" si="6"/>
        <v>3.7980151633042536</v>
      </c>
      <c r="W31">
        <f t="shared" si="7"/>
        <v>0.15809994093487872</v>
      </c>
      <c r="X31">
        <f>$E$42+$E$41*V31</f>
        <v>0.15548788402563499</v>
      </c>
    </row>
    <row r="32" spans="2:24" ht="14.65" thickBot="1" x14ac:dyDescent="0.5">
      <c r="B32" s="21" t="s">
        <v>10</v>
      </c>
      <c r="C32" s="11">
        <f t="shared" ref="C32:H32" si="18">$B$11*$N$3*($O$3-C30)/2000</f>
        <v>0.15685650576546978</v>
      </c>
      <c r="D32" s="11">
        <f t="shared" si="18"/>
        <v>0.15745917514196553</v>
      </c>
      <c r="E32" s="11">
        <f t="shared" si="18"/>
        <v>0.15809994093487872</v>
      </c>
      <c r="F32" s="11">
        <f t="shared" si="18"/>
        <v>0.1584126645415225</v>
      </c>
      <c r="G32" s="11">
        <f t="shared" si="18"/>
        <v>0.15863940553883368</v>
      </c>
      <c r="H32" s="23">
        <f t="shared" si="18"/>
        <v>0.15884831708659558</v>
      </c>
      <c r="L32" s="41" t="s">
        <v>51</v>
      </c>
      <c r="M32" s="41">
        <f>V21-M21</f>
        <v>2.6203842016014831</v>
      </c>
      <c r="N32" s="41" t="s">
        <v>50</v>
      </c>
      <c r="O32" s="41">
        <f>W21-O21</f>
        <v>5.941932655946057E-2</v>
      </c>
      <c r="R32" s="32">
        <v>927</v>
      </c>
      <c r="S32" s="57"/>
      <c r="T32">
        <f>E18</f>
        <v>3.4466666666666668</v>
      </c>
      <c r="U32">
        <f t="shared" si="5"/>
        <v>0.11784996763802474</v>
      </c>
      <c r="V32">
        <f t="shared" si="6"/>
        <v>5.1239116364358583</v>
      </c>
      <c r="W32">
        <f t="shared" si="7"/>
        <v>0.20664633083998968</v>
      </c>
      <c r="X32">
        <f>$E$42+$E$41*V32</f>
        <v>0.20828992702708427</v>
      </c>
    </row>
    <row r="33" spans="2:24" x14ac:dyDescent="0.45">
      <c r="B33" s="8" t="s">
        <v>7</v>
      </c>
      <c r="C33" s="5">
        <f t="shared" ref="C33:H33" si="19">C18</f>
        <v>2.6566666666666667</v>
      </c>
      <c r="D33" s="6">
        <f t="shared" si="19"/>
        <v>3.1033333333333335</v>
      </c>
      <c r="E33" s="6">
        <f t="shared" si="19"/>
        <v>3.4466666666666668</v>
      </c>
      <c r="F33" s="6">
        <f t="shared" si="19"/>
        <v>4.0666666666666664</v>
      </c>
      <c r="G33" s="6">
        <f t="shared" si="19"/>
        <v>4.5199999999999996</v>
      </c>
      <c r="H33" s="7">
        <f t="shared" si="19"/>
        <v>4.9033333333333333</v>
      </c>
      <c r="K33" s="41"/>
      <c r="L33" s="41" t="s">
        <v>49</v>
      </c>
      <c r="M33" s="41">
        <f>V21+M21</f>
        <v>2.7226341865235146</v>
      </c>
      <c r="N33" s="41" t="s">
        <v>48</v>
      </c>
      <c r="O33" s="41">
        <f>W21+O21</f>
        <v>6.0312429494345496E-2</v>
      </c>
      <c r="P33" s="41"/>
      <c r="R33" s="38">
        <v>267</v>
      </c>
      <c r="S33" s="57" t="s">
        <v>4</v>
      </c>
      <c r="T33">
        <f>F6</f>
        <v>7.5933333333333337</v>
      </c>
      <c r="U33">
        <f t="shared" si="5"/>
        <v>2.4280806369433621E-2</v>
      </c>
      <c r="V33">
        <f t="shared" si="6"/>
        <v>1.0556872334536358</v>
      </c>
      <c r="W33">
        <f t="shared" si="7"/>
        <v>6.0094101568085305E-2</v>
      </c>
      <c r="X33">
        <f>$F$42+$F$41*V33</f>
        <v>5.8449488724092606E-2</v>
      </c>
    </row>
    <row r="34" spans="2:24" x14ac:dyDescent="0.45">
      <c r="B34" s="8" t="s">
        <v>8</v>
      </c>
      <c r="C34" s="8">
        <f t="shared" ref="C34:H34" si="20">2*$M$3/C33^2</f>
        <v>0.19835990988792665</v>
      </c>
      <c r="D34" s="9">
        <f t="shared" si="20"/>
        <v>0.14536879255065696</v>
      </c>
      <c r="E34" s="9">
        <f t="shared" si="20"/>
        <v>0.11784996763802474</v>
      </c>
      <c r="F34" s="9">
        <f t="shared" si="20"/>
        <v>8.4654662725073909E-2</v>
      </c>
      <c r="G34" s="9">
        <f t="shared" si="20"/>
        <v>6.8525334795207157E-2</v>
      </c>
      <c r="H34" s="10">
        <f t="shared" si="20"/>
        <v>5.8229786754202359E-2</v>
      </c>
      <c r="K34" s="41"/>
      <c r="L34" s="41" t="s">
        <v>47</v>
      </c>
      <c r="M34" s="41">
        <f>V22-M22</f>
        <v>4.9267320506981624</v>
      </c>
      <c r="N34" s="41" t="s">
        <v>46</v>
      </c>
      <c r="O34" s="41">
        <f>W22-O22</f>
        <v>0.10778503501783433</v>
      </c>
      <c r="P34" s="41"/>
      <c r="R34" s="34">
        <v>487</v>
      </c>
      <c r="S34" s="57"/>
      <c r="T34">
        <f>F10</f>
        <v>5.5399999999999991</v>
      </c>
      <c r="U34">
        <f t="shared" si="5"/>
        <v>4.5615086864158286E-2</v>
      </c>
      <c r="V34">
        <f t="shared" si="6"/>
        <v>1.9832646462677517</v>
      </c>
      <c r="W34">
        <f t="shared" si="7"/>
        <v>0.10937087541203458</v>
      </c>
      <c r="X34">
        <f>$F$42+$F$41*V34</f>
        <v>0.10967102675260181</v>
      </c>
    </row>
    <row r="35" spans="2:24" x14ac:dyDescent="0.45">
      <c r="B35" s="8" t="s">
        <v>9</v>
      </c>
      <c r="C35" s="8">
        <f t="shared" ref="C35:H35" si="21">2*C34/$N$3</f>
        <v>8.624343908170724</v>
      </c>
      <c r="D35" s="9">
        <f t="shared" si="21"/>
        <v>6.3203822848111724</v>
      </c>
      <c r="E35" s="9">
        <f t="shared" si="21"/>
        <v>5.1239116364358583</v>
      </c>
      <c r="F35" s="9">
        <f t="shared" si="21"/>
        <v>3.6806375097858224</v>
      </c>
      <c r="G35" s="9">
        <f t="shared" si="21"/>
        <v>2.979362382400311</v>
      </c>
      <c r="H35" s="10">
        <f t="shared" si="21"/>
        <v>2.5317298588783634</v>
      </c>
      <c r="L35" s="41" t="s">
        <v>45</v>
      </c>
      <c r="M35" s="41">
        <f>V22+M22</f>
        <v>5.1837356414828699</v>
      </c>
      <c r="N35" s="41" t="s">
        <v>44</v>
      </c>
      <c r="O35" s="41">
        <f>W22+O22</f>
        <v>0.10937389596390294</v>
      </c>
      <c r="R35" s="33">
        <v>707</v>
      </c>
      <c r="S35" s="57"/>
      <c r="T35">
        <f>F14</f>
        <v>4.5333333333333323</v>
      </c>
      <c r="U35">
        <f t="shared" si="5"/>
        <v>6.8122837370242245E-2</v>
      </c>
      <c r="V35">
        <f t="shared" si="6"/>
        <v>2.9618624943583587</v>
      </c>
      <c r="W35">
        <f t="shared" si="7"/>
        <v>0.1584126645415225</v>
      </c>
      <c r="X35">
        <f>$F$42+$F$41*V35</f>
        <v>0.1637099524510171</v>
      </c>
    </row>
    <row r="36" spans="2:24" ht="14.65" thickBot="1" x14ac:dyDescent="0.5">
      <c r="B36" s="11" t="s">
        <v>10</v>
      </c>
      <c r="C36" s="11">
        <f t="shared" ref="C36:H36" si="22">$B$15*$N$3*($O$3-C34)/2000</f>
        <v>0.20492977836127951</v>
      </c>
      <c r="D36" s="11">
        <f t="shared" si="22"/>
        <v>0.20605960197402742</v>
      </c>
      <c r="E36" s="11">
        <f t="shared" si="22"/>
        <v>0.20664633083998968</v>
      </c>
      <c r="F36" s="11">
        <f t="shared" si="22"/>
        <v>0.20735408793603868</v>
      </c>
      <c r="G36" s="11">
        <f t="shared" si="22"/>
        <v>0.20769798133683137</v>
      </c>
      <c r="H36" s="23">
        <f t="shared" si="22"/>
        <v>0.20791749271661364</v>
      </c>
      <c r="L36" s="41" t="s">
        <v>43</v>
      </c>
      <c r="M36" s="41">
        <f>V23-M23</f>
        <v>6.9103183457709019</v>
      </c>
      <c r="N36" s="41" t="s">
        <v>42</v>
      </c>
      <c r="O36" s="41">
        <f>W23-O23</f>
        <v>0.15571246574915018</v>
      </c>
      <c r="R36" s="32">
        <v>927</v>
      </c>
      <c r="S36" s="57"/>
      <c r="T36">
        <f>F18</f>
        <v>4.0666666666666664</v>
      </c>
      <c r="U36">
        <f t="shared" si="5"/>
        <v>8.4654662725073909E-2</v>
      </c>
      <c r="V36">
        <f t="shared" si="6"/>
        <v>3.6806375097858224</v>
      </c>
      <c r="W36">
        <f t="shared" si="7"/>
        <v>0.20735408793603868</v>
      </c>
      <c r="X36">
        <f>$F$42+$F$41*V36</f>
        <v>0.20340126152996951</v>
      </c>
    </row>
    <row r="37" spans="2:24" ht="14.65" thickBot="1" x14ac:dyDescent="0.5">
      <c r="L37" s="41" t="s">
        <v>41</v>
      </c>
      <c r="M37" s="41">
        <f>V23+M23</f>
        <v>7.3350445766132939</v>
      </c>
      <c r="N37" s="41" t="s">
        <v>40</v>
      </c>
      <c r="O37" s="41">
        <f>W23+O23</f>
        <v>0.15800054578178938</v>
      </c>
      <c r="R37" s="38">
        <v>267</v>
      </c>
      <c r="S37" s="57" t="s">
        <v>5</v>
      </c>
      <c r="T37">
        <f>G6</f>
        <v>8.49</v>
      </c>
      <c r="U37">
        <f t="shared" si="5"/>
        <v>1.9422836538795032E-2</v>
      </c>
      <c r="V37">
        <f t="shared" si="6"/>
        <v>0.84447115386065352</v>
      </c>
      <c r="W37">
        <f t="shared" si="7"/>
        <v>6.012393436081527E-2</v>
      </c>
      <c r="X37">
        <f>$G$42+$G$41*V37</f>
        <v>5.8241086144336644E-2</v>
      </c>
    </row>
    <row r="38" spans="2:24" ht="14.65" thickBot="1" x14ac:dyDescent="0.5">
      <c r="C38" s="2" t="s">
        <v>1</v>
      </c>
      <c r="D38" s="3" t="s">
        <v>2</v>
      </c>
      <c r="E38" s="3" t="s">
        <v>3</v>
      </c>
      <c r="F38" s="3" t="s">
        <v>4</v>
      </c>
      <c r="G38" s="3" t="s">
        <v>5</v>
      </c>
      <c r="H38" s="4" t="s">
        <v>6</v>
      </c>
      <c r="L38" s="41" t="s">
        <v>39</v>
      </c>
      <c r="M38" s="41">
        <f>V24-M24</f>
        <v>8.3428571857041351</v>
      </c>
      <c r="N38" s="41" t="s">
        <v>38</v>
      </c>
      <c r="O38" s="41">
        <f>W24-O24</f>
        <v>0.20343505589709501</v>
      </c>
      <c r="R38" s="34">
        <v>487</v>
      </c>
      <c r="S38" s="57"/>
      <c r="T38">
        <f>G10</f>
        <v>6.1466666666666656</v>
      </c>
      <c r="U38">
        <f t="shared" si="5"/>
        <v>3.7055161607558791E-2</v>
      </c>
      <c r="V38">
        <f t="shared" si="6"/>
        <v>1.6110939829373387</v>
      </c>
      <c r="W38">
        <f t="shared" si="7"/>
        <v>0.10946675513483374</v>
      </c>
      <c r="X38">
        <f>$G$42+$G$41*V38</f>
        <v>0.11087586689442812</v>
      </c>
    </row>
    <row r="39" spans="2:24" x14ac:dyDescent="0.45">
      <c r="B39" t="s">
        <v>15</v>
      </c>
      <c r="C39" s="40">
        <f t="shared" ref="C39:H40" si="23">AVERAGE(C23,C27,C31,C35)</f>
        <v>5.8684421023789586</v>
      </c>
      <c r="D39" s="40">
        <f t="shared" si="23"/>
        <v>4.3050728776550731</v>
      </c>
      <c r="E39" s="40">
        <f t="shared" si="23"/>
        <v>3.2458249843513336</v>
      </c>
      <c r="F39" s="40">
        <f t="shared" si="23"/>
        <v>2.4203629709663921</v>
      </c>
      <c r="G39" s="40">
        <f t="shared" si="23"/>
        <v>1.9476338813653076</v>
      </c>
      <c r="H39" s="40">
        <f t="shared" si="23"/>
        <v>1.5732162092466631</v>
      </c>
      <c r="L39" s="41" t="s">
        <v>37</v>
      </c>
      <c r="M39" s="41">
        <f>V24+M24</f>
        <v>8.905830630637313</v>
      </c>
      <c r="N39" s="41" t="s">
        <v>36</v>
      </c>
      <c r="O39" s="41">
        <f>W24+O24</f>
        <v>0.20642450082546401</v>
      </c>
      <c r="R39" s="33">
        <v>707</v>
      </c>
      <c r="S39" s="57"/>
      <c r="T39">
        <f>G14</f>
        <v>5.083333333333333</v>
      </c>
      <c r="U39">
        <f t="shared" si="5"/>
        <v>5.4178984144047301E-2</v>
      </c>
      <c r="V39">
        <f t="shared" si="6"/>
        <v>2.3556080062629263</v>
      </c>
      <c r="W39">
        <f t="shared" si="7"/>
        <v>0.15863940553883368</v>
      </c>
      <c r="X39">
        <f>$G$42+$G$41*V39</f>
        <v>0.1619927015317526</v>
      </c>
    </row>
    <row r="40" spans="2:24" ht="14.65" thickBot="1" x14ac:dyDescent="0.5">
      <c r="B40" t="s">
        <v>16</v>
      </c>
      <c r="C40" s="40">
        <f t="shared" si="23"/>
        <v>0.13255790691113023</v>
      </c>
      <c r="D40" s="39">
        <f t="shared" si="23"/>
        <v>0.1331183358863654</v>
      </c>
      <c r="E40" s="39">
        <f t="shared" si="23"/>
        <v>0.13349765314042467</v>
      </c>
      <c r="F40" s="40">
        <f t="shared" si="23"/>
        <v>0.13380793236442026</v>
      </c>
      <c r="G40" s="39">
        <f t="shared" si="23"/>
        <v>0.13398201909282853</v>
      </c>
      <c r="H40" s="39">
        <f t="shared" si="23"/>
        <v>0.13411601102460852</v>
      </c>
      <c r="R40" s="32">
        <v>927</v>
      </c>
      <c r="S40" s="57"/>
      <c r="T40">
        <f>G18</f>
        <v>4.5199999999999996</v>
      </c>
      <c r="U40">
        <f t="shared" si="5"/>
        <v>6.8525334795207157E-2</v>
      </c>
      <c r="V40">
        <f t="shared" si="6"/>
        <v>2.979362382400311</v>
      </c>
      <c r="W40">
        <f t="shared" si="7"/>
        <v>0.20769798133683137</v>
      </c>
      <c r="X40">
        <f>$G$42+$G$41*V40</f>
        <v>0.20481842180079671</v>
      </c>
    </row>
    <row r="41" spans="2:24" x14ac:dyDescent="0.45">
      <c r="B41" t="s">
        <v>17</v>
      </c>
      <c r="C41" s="37">
        <f t="shared" ref="C41:H41" si="24">((C23-C39)*(C24-C40)+(C27-C39)*(C28-C40)+(C31-C39)*(C32-C40)+(C35-C39)*(C36-C40))/((C23-C39)^2+(C27-C39)^2+(C31-C39)^2+(C35-C39)^2)</f>
        <v>2.4031015992789201E-2</v>
      </c>
      <c r="D41" s="37">
        <f t="shared" si="24"/>
        <v>3.0959875567709804E-2</v>
      </c>
      <c r="E41" s="37">
        <f t="shared" si="24"/>
        <v>3.9823654464316759E-2</v>
      </c>
      <c r="F41" s="37">
        <f t="shared" si="24"/>
        <v>5.5220768984781073E-2</v>
      </c>
      <c r="G41" s="37">
        <f t="shared" si="24"/>
        <v>6.8657987674961896E-2</v>
      </c>
      <c r="H41" s="37">
        <f t="shared" si="24"/>
        <v>8.0787940856431414E-2</v>
      </c>
      <c r="R41" s="38">
        <v>267</v>
      </c>
      <c r="S41" s="57" t="s">
        <v>6</v>
      </c>
      <c r="T41">
        <f>H6</f>
        <v>9.4566666666666652</v>
      </c>
      <c r="U41">
        <f t="shared" si="5"/>
        <v>1.5654956800395206E-2</v>
      </c>
      <c r="V41">
        <f t="shared" si="6"/>
        <v>0.68065029566935675</v>
      </c>
      <c r="W41">
        <f t="shared" si="7"/>
        <v>6.0147072910288778E-2</v>
      </c>
      <c r="X41">
        <f>$H$42+$H$41*V41</f>
        <v>6.2007448788058424E-2</v>
      </c>
    </row>
    <row r="42" spans="2:24" x14ac:dyDescent="0.45">
      <c r="B42" t="s">
        <v>18</v>
      </c>
      <c r="C42" s="35">
        <f t="shared" ref="C42:H42" si="25">C40-C41*C39</f>
        <v>-8.4667191038960143E-3</v>
      </c>
      <c r="D42" s="36">
        <f t="shared" si="25"/>
        <v>-1.6618471575802207E-4</v>
      </c>
      <c r="E42" s="37">
        <f t="shared" si="25"/>
        <v>4.2370405119707966E-3</v>
      </c>
      <c r="F42" s="36">
        <f t="shared" si="25"/>
        <v>1.5362788536674166E-4</v>
      </c>
      <c r="G42" s="36">
        <f t="shared" si="25"/>
        <v>2.613960707110452E-4</v>
      </c>
      <c r="H42" s="35">
        <f t="shared" si="25"/>
        <v>7.0191129576098743E-3</v>
      </c>
      <c r="R42" s="34">
        <v>487</v>
      </c>
      <c r="S42" s="57"/>
      <c r="T42">
        <f>H10</f>
        <v>6.8866666666666667</v>
      </c>
      <c r="U42">
        <f t="shared" si="5"/>
        <v>2.9519562098381667E-2</v>
      </c>
      <c r="V42">
        <f t="shared" si="6"/>
        <v>1.2834592216687681</v>
      </c>
      <c r="W42">
        <f t="shared" si="7"/>
        <v>0.10955116138493605</v>
      </c>
      <c r="X42">
        <f>$H$42+$H$41*V42</f>
        <v>0.11070714064942781</v>
      </c>
    </row>
    <row r="43" spans="2:24" x14ac:dyDescent="0.45">
      <c r="R43" s="33">
        <v>707</v>
      </c>
      <c r="S43" s="57"/>
      <c r="T43">
        <f>H14</f>
        <v>5.82</v>
      </c>
      <c r="U43">
        <f t="shared" si="5"/>
        <v>4.1331585597713764E-2</v>
      </c>
      <c r="V43">
        <f t="shared" si="6"/>
        <v>1.7970254607701637</v>
      </c>
      <c r="W43">
        <f t="shared" si="7"/>
        <v>0.15884831708659558</v>
      </c>
      <c r="X43">
        <f>$H$42+$H$41*V43</f>
        <v>0.15219709959981126</v>
      </c>
    </row>
    <row r="44" spans="2:24" x14ac:dyDescent="0.45">
      <c r="B44" t="s">
        <v>35</v>
      </c>
      <c r="C44" t="s">
        <v>34</v>
      </c>
      <c r="D44" t="s">
        <v>33</v>
      </c>
      <c r="E44" t="s">
        <v>32</v>
      </c>
      <c r="F44" t="s">
        <v>31</v>
      </c>
      <c r="G44" t="s">
        <v>30</v>
      </c>
      <c r="R44" s="32">
        <v>927</v>
      </c>
      <c r="S44" s="57"/>
      <c r="T44">
        <f>H18</f>
        <v>4.9033333333333333</v>
      </c>
      <c r="U44">
        <f t="shared" si="5"/>
        <v>5.8229786754202359E-2</v>
      </c>
      <c r="V44">
        <f t="shared" si="6"/>
        <v>2.5317298588783634</v>
      </c>
      <c r="W44">
        <f t="shared" si="7"/>
        <v>0.20791749271661364</v>
      </c>
      <c r="X44">
        <f>$H$42+$H$41*V44</f>
        <v>0.21155235506113654</v>
      </c>
    </row>
    <row r="45" spans="2:24" x14ac:dyDescent="0.45">
      <c r="B45">
        <v>1</v>
      </c>
      <c r="C45">
        <f t="shared" ref="C45:C50" si="26" xml:space="preserve"> (57 + (B45-1)*25 +20)/1000</f>
        <v>7.6999999999999999E-2</v>
      </c>
      <c r="D45">
        <f t="shared" ref="D45:D50" si="27">C45^2</f>
        <v>5.9290000000000002E-3</v>
      </c>
      <c r="E45" s="31">
        <f>C41</f>
        <v>2.4031015992789201E-2</v>
      </c>
      <c r="F45">
        <f t="shared" ref="F45:F50" si="28">$C$55+$C$54*D45</f>
        <v>2.4092965093686868E-2</v>
      </c>
      <c r="G45">
        <f t="shared" ref="G45:G50" si="29">E45-($C$55+$C$54*D45)</f>
        <v>-6.1949100897667336E-5</v>
      </c>
      <c r="H45">
        <f t="shared" ref="H45:H50" si="30">(D45-$C$52)^2</f>
        <v>2.3575043402777784E-4</v>
      </c>
    </row>
    <row r="46" spans="2:24" x14ac:dyDescent="0.45">
      <c r="B46">
        <v>2</v>
      </c>
      <c r="C46">
        <f t="shared" si="26"/>
        <v>0.10199999999999999</v>
      </c>
      <c r="D46">
        <f t="shared" si="27"/>
        <v>1.0403999999999998E-2</v>
      </c>
      <c r="E46">
        <f>D41</f>
        <v>3.0959875567709804E-2</v>
      </c>
      <c r="F46">
        <f t="shared" si="28"/>
        <v>3.1618419118983346E-2</v>
      </c>
      <c r="G46">
        <f t="shared" si="29"/>
        <v>-6.5854355127354172E-4</v>
      </c>
      <c r="H46">
        <f t="shared" si="30"/>
        <v>1.183562673611112E-4</v>
      </c>
    </row>
    <row r="47" spans="2:24" x14ac:dyDescent="0.45">
      <c r="B47">
        <v>3</v>
      </c>
      <c r="C47">
        <f t="shared" si="26"/>
        <v>0.127</v>
      </c>
      <c r="D47">
        <f t="shared" si="27"/>
        <v>1.6129000000000001E-2</v>
      </c>
      <c r="E47">
        <f>E41</f>
        <v>3.9823654464316759E-2</v>
      </c>
      <c r="F47">
        <f t="shared" si="28"/>
        <v>4.1245955274250914E-2</v>
      </c>
      <c r="G47">
        <f t="shared" si="29"/>
        <v>-1.4223008099341558E-3</v>
      </c>
      <c r="H47">
        <f t="shared" si="30"/>
        <v>2.6565434027777793E-5</v>
      </c>
    </row>
    <row r="48" spans="2:24" x14ac:dyDescent="0.45">
      <c r="B48">
        <v>4</v>
      </c>
      <c r="C48">
        <f t="shared" si="26"/>
        <v>0.152</v>
      </c>
      <c r="D48">
        <f t="shared" si="27"/>
        <v>2.3104E-2</v>
      </c>
      <c r="E48">
        <f>F41</f>
        <v>5.5220768984781073E-2</v>
      </c>
      <c r="F48">
        <f t="shared" si="28"/>
        <v>5.2975573559489564E-2</v>
      </c>
      <c r="G48">
        <f t="shared" si="29"/>
        <v>2.2451954252915088E-3</v>
      </c>
      <c r="H48">
        <f t="shared" si="30"/>
        <v>3.3154340277777676E-6</v>
      </c>
    </row>
    <row r="49" spans="2:12" x14ac:dyDescent="0.45">
      <c r="B49">
        <v>5</v>
      </c>
      <c r="C49">
        <f t="shared" si="26"/>
        <v>0.17699999999999999</v>
      </c>
      <c r="D49">
        <f t="shared" si="27"/>
        <v>3.1328999999999996E-2</v>
      </c>
      <c r="E49">
        <f>G41</f>
        <v>6.8657987674961896E-2</v>
      </c>
      <c r="F49">
        <f t="shared" si="28"/>
        <v>6.6807273974699294E-2</v>
      </c>
      <c r="G49">
        <f t="shared" si="29"/>
        <v>1.8507137002626017E-3</v>
      </c>
      <c r="H49">
        <f t="shared" si="30"/>
        <v>1.0091876736111099E-4</v>
      </c>
    </row>
    <row r="50" spans="2:12" x14ac:dyDescent="0.45">
      <c r="B50">
        <v>6</v>
      </c>
      <c r="C50">
        <f t="shared" si="26"/>
        <v>0.20200000000000001</v>
      </c>
      <c r="D50">
        <f t="shared" si="27"/>
        <v>4.0804000000000007E-2</v>
      </c>
      <c r="E50">
        <f>H41</f>
        <v>8.0787940856431414E-2</v>
      </c>
      <c r="F50">
        <f t="shared" si="28"/>
        <v>8.2741056519880132E-2</v>
      </c>
      <c r="G50">
        <f t="shared" si="29"/>
        <v>-1.9531156634487179E-3</v>
      </c>
      <c r="H50">
        <f t="shared" si="30"/>
        <v>3.8106293402777796E-4</v>
      </c>
    </row>
    <row r="52" spans="2:12" x14ac:dyDescent="0.45">
      <c r="B52" t="s">
        <v>29</v>
      </c>
      <c r="C52">
        <f>AVERAGE(D45:D50)</f>
        <v>2.1283166666666669E-2</v>
      </c>
    </row>
    <row r="53" spans="2:12" x14ac:dyDescent="0.45">
      <c r="B53" t="s">
        <v>28</v>
      </c>
      <c r="C53">
        <f xml:space="preserve"> AVERAGE(E45:E50)</f>
        <v>4.9913540590165027E-2</v>
      </c>
      <c r="I53" s="31"/>
    </row>
    <row r="54" spans="2:12" x14ac:dyDescent="0.45">
      <c r="B54" t="s">
        <v>27</v>
      </c>
      <c r="C54">
        <f>((D45-C52)*(E45-C53)+(D46-C52)*(E46-C53) + (D47-C52)*(E47-C53) + (D48-C52)*(E48-C53) + (D49-C52)*(E49-C53) + (D50-C52)*(E50-C53))/((D45-C52)^2 + (D46-C52)^2 + (D47-C52)^2 + (D48-C52)^2 + (D49-C52)^2  + (D50-C52)^2)</f>
        <v>1.6816657039768674</v>
      </c>
      <c r="D54" s="30">
        <f>C54/4</f>
        <v>0.42041642599421686</v>
      </c>
    </row>
    <row r="55" spans="2:12" ht="14.65" thickBot="1" x14ac:dyDescent="0.5">
      <c r="B55" t="s">
        <v>26</v>
      </c>
      <c r="C55">
        <f>C53-C54*C52</f>
        <v>1.4122369134808022E-2</v>
      </c>
      <c r="D55">
        <v>1.41E-2</v>
      </c>
    </row>
    <row r="56" spans="2:12" ht="15.4" thickBot="1" x14ac:dyDescent="0.5">
      <c r="B56" t="s">
        <v>25</v>
      </c>
      <c r="C56">
        <f>SUM(H45:H50)</f>
        <v>8.6596927083333359E-4</v>
      </c>
      <c r="K56" t="s">
        <v>69</v>
      </c>
      <c r="L56" s="64">
        <v>2.7516214200000002</v>
      </c>
    </row>
    <row r="57" spans="2:12" ht="15.4" thickBot="1" x14ac:dyDescent="0.5">
      <c r="B57" t="s">
        <v>24</v>
      </c>
      <c r="C57">
        <f>SQRT(SUMSQ(G45:G50)/C56/4)</f>
        <v>6.5235592945463508E-2</v>
      </c>
      <c r="K57">
        <v>2.4031015992789201E-2</v>
      </c>
      <c r="L57" s="65">
        <v>4.8481514710000004</v>
      </c>
    </row>
    <row r="58" spans="2:12" ht="15.4" thickBot="1" x14ac:dyDescent="0.5">
      <c r="B58" t="s">
        <v>23</v>
      </c>
      <c r="C58">
        <f>SQRT((1/4+C52^2/C56)*SUMSQ(G45:G50)/4)</f>
        <v>1.6879077804970429E-3</v>
      </c>
      <c r="K58">
        <v>3.0959875567709804E-2</v>
      </c>
      <c r="L58" s="65">
        <v>6.3750447960000001</v>
      </c>
    </row>
    <row r="59" spans="2:12" ht="15.4" thickBot="1" x14ac:dyDescent="0.5">
      <c r="B59" t="s">
        <v>22</v>
      </c>
      <c r="C59">
        <f>C57*2.22813885196493/4</f>
        <v>3.6338489793189141E-2</v>
      </c>
      <c r="D59">
        <v>3.5999999999999997E-2</v>
      </c>
      <c r="K59">
        <v>3.9823654464316759E-2</v>
      </c>
      <c r="L59" s="65">
        <v>9.1209338100000004</v>
      </c>
    </row>
    <row r="60" spans="2:12" ht="15.4" thickBot="1" x14ac:dyDescent="0.5">
      <c r="B60" t="s">
        <v>21</v>
      </c>
      <c r="C60">
        <f>C58*2.22813885196493</f>
        <v>3.7608929042593545E-3</v>
      </c>
      <c r="D60">
        <v>3.8E-3</v>
      </c>
      <c r="K60">
        <v>5.5220768984781073E-2</v>
      </c>
      <c r="L60" s="65">
        <v>1.961958466</v>
      </c>
    </row>
    <row r="61" spans="2:12" ht="15.4" thickBot="1" x14ac:dyDescent="0.5">
      <c r="B61" t="s">
        <v>20</v>
      </c>
      <c r="C61">
        <f>C59/D54</f>
        <v>8.643451479626299E-2</v>
      </c>
      <c r="D61">
        <v>0.09</v>
      </c>
      <c r="K61">
        <v>6.8657987674961896E-2</v>
      </c>
      <c r="L61" s="65">
        <v>3.5628647689999999</v>
      </c>
    </row>
    <row r="62" spans="2:12" ht="15.4" thickBot="1" x14ac:dyDescent="0.5">
      <c r="B62" t="s">
        <v>19</v>
      </c>
      <c r="C62">
        <f>C60/C55</f>
        <v>0.26630750608194464</v>
      </c>
      <c r="D62">
        <v>0.27</v>
      </c>
      <c r="K62">
        <v>8.0787940856431414E-2</v>
      </c>
      <c r="L62" s="65">
        <v>5.1041472900000002</v>
      </c>
    </row>
    <row r="63" spans="2:12" ht="15.4" thickBot="1" x14ac:dyDescent="0.5">
      <c r="L63" s="65">
        <v>6.8851435649999999</v>
      </c>
    </row>
    <row r="64" spans="2:12" ht="15.4" thickBot="1" x14ac:dyDescent="0.5">
      <c r="L64" s="65">
        <v>1.4362770549999999</v>
      </c>
    </row>
    <row r="65" spans="12:12" ht="15.4" thickBot="1" x14ac:dyDescent="0.5">
      <c r="L65" s="65">
        <v>2.6864965939999998</v>
      </c>
    </row>
    <row r="66" spans="12:12" ht="15.4" thickBot="1" x14ac:dyDescent="0.5">
      <c r="L66" s="65">
        <v>3.7665877839999999</v>
      </c>
    </row>
    <row r="67" spans="12:12" ht="15.4" thickBot="1" x14ac:dyDescent="0.5">
      <c r="L67" s="65">
        <v>4.9594929480000003</v>
      </c>
    </row>
    <row r="68" spans="12:12" ht="15.4" thickBot="1" x14ac:dyDescent="0.5">
      <c r="L68" s="65">
        <v>1.120637688</v>
      </c>
    </row>
    <row r="69" spans="12:12" ht="15.4" thickBot="1" x14ac:dyDescent="0.5">
      <c r="L69" s="65">
        <v>2.0669687369999998</v>
      </c>
    </row>
    <row r="70" spans="12:12" ht="15.4" thickBot="1" x14ac:dyDescent="0.5">
      <c r="L70" s="65">
        <v>2.8030340040000001</v>
      </c>
    </row>
    <row r="71" spans="12:12" ht="15.4" thickBot="1" x14ac:dyDescent="0.5">
      <c r="L71" s="65">
        <v>3.875065073</v>
      </c>
    </row>
    <row r="72" spans="12:12" ht="15.4" thickBot="1" x14ac:dyDescent="0.5">
      <c r="L72" s="65">
        <v>0.89867059000000005</v>
      </c>
    </row>
    <row r="73" spans="12:12" ht="15.4" thickBot="1" x14ac:dyDescent="0.5">
      <c r="L73" s="65">
        <v>1.7685501260000001</v>
      </c>
    </row>
    <row r="74" spans="12:12" ht="15.4" thickBot="1" x14ac:dyDescent="0.5">
      <c r="L74" s="65">
        <v>2.3280483190000001</v>
      </c>
    </row>
    <row r="75" spans="12:12" ht="15.4" thickBot="1" x14ac:dyDescent="0.5">
      <c r="L75" s="65">
        <v>2.9402036090000001</v>
      </c>
    </row>
    <row r="76" spans="12:12" ht="15.4" thickBot="1" x14ac:dyDescent="0.5">
      <c r="L76" s="65">
        <v>0.68305584399999997</v>
      </c>
    </row>
    <row r="77" spans="12:12" ht="15.4" thickBot="1" x14ac:dyDescent="0.5">
      <c r="L77" s="65">
        <v>1.2625953029999999</v>
      </c>
    </row>
    <row r="78" spans="12:12" ht="15.4" thickBot="1" x14ac:dyDescent="0.5">
      <c r="L78" s="65">
        <v>1.803216758</v>
      </c>
    </row>
    <row r="79" spans="12:12" ht="15.4" thickBot="1" x14ac:dyDescent="0.5">
      <c r="L79" s="65">
        <v>2.3617988259999998</v>
      </c>
    </row>
  </sheetData>
  <mergeCells count="12">
    <mergeCell ref="S41:S44"/>
    <mergeCell ref="J20:O20"/>
    <mergeCell ref="J26:O26"/>
    <mergeCell ref="S21:S24"/>
    <mergeCell ref="S25:S28"/>
    <mergeCell ref="S29:S32"/>
    <mergeCell ref="S33:S36"/>
    <mergeCell ref="S37:S40"/>
    <mergeCell ref="B3:B6"/>
    <mergeCell ref="B7:B10"/>
    <mergeCell ref="B11:B14"/>
    <mergeCell ref="B15:B1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Серега</vt:lpstr>
      <vt:lpstr>Жаргал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Затикян</dc:creator>
  <cp:lastModifiedBy>Сергей Затикян</cp:lastModifiedBy>
  <dcterms:created xsi:type="dcterms:W3CDTF">2015-06-05T18:17:20Z</dcterms:created>
  <dcterms:modified xsi:type="dcterms:W3CDTF">2023-04-14T00:12:51Z</dcterms:modified>
</cp:coreProperties>
</file>