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35" documentId="11_5E51AC10705BB83C81235853458A64EF4C1FE2E2" xr6:coauthVersionLast="47" xr6:coauthVersionMax="47" xr10:uidLastSave="{8460A710-2A2C-4E9C-BE22-7A442C0FFC50}"/>
  <bookViews>
    <workbookView xWindow="15" yWindow="15" windowWidth="21585" windowHeight="1276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7" i="1" l="1"/>
  <c r="O26" i="1"/>
  <c r="V27" i="1"/>
  <c r="U27" i="1"/>
  <c r="T27" i="1"/>
  <c r="S27" i="1"/>
  <c r="R27" i="1"/>
  <c r="S26" i="1"/>
  <c r="T26" i="1"/>
  <c r="U26" i="1"/>
  <c r="V26" i="1"/>
  <c r="R26" i="1"/>
  <c r="S25" i="1"/>
  <c r="T25" i="1"/>
  <c r="U25" i="1"/>
  <c r="V25" i="1"/>
  <c r="R25" i="1"/>
  <c r="Q26" i="1"/>
  <c r="Q27" i="1"/>
  <c r="Q28" i="1"/>
  <c r="Q29" i="1"/>
  <c r="Q25" i="1"/>
  <c r="O25" i="1"/>
  <c r="O24" i="1"/>
  <c r="K28" i="1"/>
  <c r="K27" i="1"/>
  <c r="K26" i="1"/>
  <c r="K25" i="1"/>
  <c r="K24" i="1"/>
  <c r="D12" i="1" l="1"/>
  <c r="E12" i="1"/>
  <c r="F12" i="1"/>
  <c r="G12" i="1"/>
  <c r="C12" i="1"/>
  <c r="S18" i="1" l="1"/>
  <c r="T6" i="1"/>
  <c r="U6" i="1"/>
  <c r="V6" i="1"/>
  <c r="W6" i="1"/>
  <c r="X6" i="1"/>
  <c r="S6" i="1"/>
  <c r="S5" i="1"/>
  <c r="S4" i="1"/>
  <c r="U7" i="1" l="1"/>
  <c r="U8" i="1" s="1"/>
  <c r="X7" i="1"/>
  <c r="X8" i="1" s="1"/>
  <c r="W7" i="1"/>
  <c r="W8" i="1" s="1"/>
  <c r="S7" i="1"/>
  <c r="S8" i="1" s="1"/>
  <c r="T7" i="1"/>
  <c r="T8" i="1" s="1"/>
  <c r="V7" i="1"/>
  <c r="V8" i="1" s="1"/>
  <c r="O5" i="1"/>
  <c r="P5" i="1" s="1"/>
  <c r="O6" i="1"/>
  <c r="P6" i="1" s="1"/>
  <c r="N5" i="1"/>
  <c r="N6" i="1"/>
  <c r="N7" i="1"/>
  <c r="O7" i="1" s="1"/>
  <c r="P7" i="1" s="1"/>
  <c r="N8" i="1"/>
  <c r="O8" i="1" s="1"/>
  <c r="P8" i="1" s="1"/>
  <c r="N9" i="1"/>
  <c r="O9" i="1" s="1"/>
  <c r="P9" i="1" s="1"/>
  <c r="N4" i="1"/>
  <c r="O4" i="1" s="1"/>
  <c r="P4" i="1" s="1"/>
  <c r="D7" i="1"/>
  <c r="D9" i="1" s="1"/>
  <c r="E7" i="1"/>
  <c r="E9" i="1" s="1"/>
  <c r="F7" i="1"/>
  <c r="F9" i="1" s="1"/>
  <c r="G7" i="1"/>
  <c r="G9" i="1" s="1"/>
  <c r="C7" i="1"/>
  <c r="AB4" i="1" l="1"/>
  <c r="P13" i="1"/>
  <c r="S9" i="1" s="1"/>
  <c r="AB7" i="1"/>
  <c r="P16" i="1"/>
  <c r="V9" i="1" s="1"/>
  <c r="AB9" i="1"/>
  <c r="P18" i="1"/>
  <c r="X9" i="1" s="1"/>
  <c r="AB8" i="1"/>
  <c r="P17" i="1"/>
  <c r="W9" i="1" s="1"/>
  <c r="AC7" i="1"/>
  <c r="AH7" i="1" s="1"/>
  <c r="V12" i="1"/>
  <c r="AC4" i="1"/>
  <c r="AH4" i="1" s="1"/>
  <c r="S12" i="1"/>
  <c r="P15" i="1"/>
  <c r="U9" i="1" s="1"/>
  <c r="AB6" i="1"/>
  <c r="AC5" i="1"/>
  <c r="AH5" i="1" s="1"/>
  <c r="T12" i="1"/>
  <c r="C9" i="1"/>
  <c r="B15" i="1"/>
  <c r="AC8" i="1"/>
  <c r="AH8" i="1" s="1"/>
  <c r="W12" i="1"/>
  <c r="AC9" i="1"/>
  <c r="AH9" i="1" s="1"/>
  <c r="X12" i="1"/>
  <c r="AB5" i="1"/>
  <c r="P14" i="1"/>
  <c r="T9" i="1" s="1"/>
  <c r="AC6" i="1"/>
  <c r="AH6" i="1" s="1"/>
  <c r="U12" i="1"/>
  <c r="B17" i="1" l="1"/>
  <c r="C19" i="1"/>
  <c r="C20" i="1" s="1"/>
  <c r="G19" i="1"/>
  <c r="G20" i="1" s="1"/>
  <c r="F19" i="1"/>
  <c r="F20" i="1" s="1"/>
  <c r="E19" i="1"/>
  <c r="E20" i="1" s="1"/>
  <c r="D19" i="1"/>
  <c r="D20" i="1" s="1"/>
  <c r="AB14" i="1"/>
  <c r="AB15" i="1" s="1"/>
  <c r="AF4" i="1" l="1"/>
  <c r="AG4" i="1" s="1"/>
  <c r="AF7" i="1"/>
  <c r="AG7" i="1" s="1"/>
  <c r="B22" i="1"/>
  <c r="B23" i="1" s="1"/>
  <c r="B16" i="1" s="1"/>
  <c r="AF6" i="1"/>
  <c r="AG6" i="1" s="1"/>
  <c r="AB16" i="1"/>
  <c r="V10" i="1"/>
  <c r="T10" i="1"/>
  <c r="X10" i="1"/>
  <c r="W10" i="1"/>
  <c r="U10" i="1"/>
  <c r="S10" i="1"/>
  <c r="AF5" i="1"/>
  <c r="AG5" i="1" s="1"/>
  <c r="AF9" i="1"/>
  <c r="AG9" i="1" s="1"/>
  <c r="AF8" i="1"/>
  <c r="AG8" i="1" s="1"/>
  <c r="AE14" i="1" l="1"/>
</calcChain>
</file>

<file path=xl/sharedStrings.xml><?xml version="1.0" encoding="utf-8"?>
<sst xmlns="http://schemas.openxmlformats.org/spreadsheetml/2006/main" count="60" uniqueCount="56">
  <si>
    <t>табл 2</t>
  </si>
  <si>
    <t>10˚</t>
  </si>
  <si>
    <t>25˚</t>
  </si>
  <si>
    <t>20˚</t>
  </si>
  <si>
    <t>15˚</t>
  </si>
  <si>
    <t>5˚</t>
  </si>
  <si>
    <t>t1,c</t>
  </si>
  <si>
    <t>t2,c</t>
  </si>
  <si>
    <t>t3,c</t>
  </si>
  <si>
    <t>tср,c</t>
  </si>
  <si>
    <t>табл 3</t>
  </si>
  <si>
    <t xml:space="preserve"> T, c</t>
  </si>
  <si>
    <t>Положение боковых грузов</t>
  </si>
  <si>
    <t xml:space="preserve">1 риска </t>
  </si>
  <si>
    <t>2 риска</t>
  </si>
  <si>
    <t>3 риска</t>
  </si>
  <si>
    <t>4 риска</t>
  </si>
  <si>
    <t>6 риска</t>
  </si>
  <si>
    <t>5 риска</t>
  </si>
  <si>
    <t>Риски</t>
  </si>
  <si>
    <r>
      <rPr>
        <sz val="11"/>
        <color theme="1"/>
        <rFont val="Calibri"/>
        <family val="2"/>
        <charset val="204"/>
        <scheme val="minor"/>
      </rPr>
      <t>I</t>
    </r>
    <r>
      <rPr>
        <vertAlign val="subscript"/>
        <sz val="11"/>
        <color theme="1"/>
        <rFont val="Calibri"/>
        <family val="2"/>
        <charset val="204"/>
        <scheme val="minor"/>
      </rPr>
      <t>гр</t>
    </r>
  </si>
  <si>
    <t>I</t>
  </si>
  <si>
    <r>
      <t>l</t>
    </r>
    <r>
      <rPr>
        <vertAlign val="subscript"/>
        <sz val="11"/>
        <color theme="1"/>
        <rFont val="Calibri"/>
        <family val="2"/>
        <charset val="204"/>
        <scheme val="minor"/>
      </rPr>
      <t>пр эксп</t>
    </r>
  </si>
  <si>
    <r>
      <t>l</t>
    </r>
    <r>
      <rPr>
        <vertAlign val="subscript"/>
        <sz val="11"/>
        <color theme="1"/>
        <rFont val="Calibri"/>
        <family val="2"/>
        <charset val="204"/>
        <scheme val="minor"/>
      </rPr>
      <t>пр теор</t>
    </r>
  </si>
  <si>
    <t>квадрат Т</t>
  </si>
  <si>
    <t>tср, с</t>
  </si>
  <si>
    <t>вязкое трение</t>
  </si>
  <si>
    <t>d</t>
  </si>
  <si>
    <t>d^2</t>
  </si>
  <si>
    <r>
      <t>d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</si>
  <si>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d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scheme val="minor"/>
      </rPr>
      <t>^2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</si>
  <si>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scheme val="minor"/>
      </rPr>
      <t>^2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</si>
  <si>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b</t>
    </r>
  </si>
  <si>
    <t>(формула мнк)</t>
  </si>
  <si>
    <t>ln(A0/A)</t>
  </si>
  <si>
    <t>β, 1/c</t>
  </si>
  <si>
    <t>Δβ, 1/c</t>
  </si>
  <si>
    <t>Ѳ, c</t>
  </si>
  <si>
    <t>ΔѲ, c</t>
  </si>
  <si>
    <t>m*l=</t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</si>
  <si>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бок</t>
    </r>
    <r>
      <rPr>
        <sz val="11"/>
        <color theme="1"/>
        <rFont val="Calibri"/>
        <family val="2"/>
        <charset val="204"/>
        <scheme val="minor"/>
      </rPr>
      <t xml:space="preserve"> , м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</si>
  <si>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ниж </t>
    </r>
    <r>
      <rPr>
        <sz val="11"/>
        <color theme="1"/>
        <rFont val="Calibri"/>
        <family val="2"/>
        <charset val="204"/>
        <scheme val="minor"/>
      </rPr>
      <t xml:space="preserve"> , м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</si>
  <si>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верх </t>
    </r>
    <r>
      <rPr>
        <sz val="11"/>
        <color theme="1"/>
        <rFont val="Calibri"/>
        <family val="2"/>
        <charset val="204"/>
        <scheme val="minor"/>
      </rPr>
      <t>, м</t>
    </r>
  </si>
  <si>
    <r>
      <t>l</t>
    </r>
    <r>
      <rPr>
        <vertAlign val="subscript"/>
        <sz val="11"/>
        <color theme="1"/>
        <rFont val="Calibri"/>
        <family val="2"/>
        <charset val="204"/>
        <scheme val="minor"/>
      </rPr>
      <t>теор</t>
    </r>
    <r>
      <rPr>
        <sz val="11"/>
        <color theme="1"/>
        <rFont val="Calibri"/>
        <family val="2"/>
        <scheme val="minor"/>
      </rPr>
      <t>=</t>
    </r>
  </si>
  <si>
    <t>T^2</t>
  </si>
  <si>
    <t>K=</t>
  </si>
  <si>
    <t>x^2</t>
  </si>
  <si>
    <t>ΔK=</t>
  </si>
  <si>
    <t>м</t>
  </si>
  <si>
    <t>кг*м</t>
  </si>
  <si>
    <t>lnA ср</t>
  </si>
  <si>
    <t>t ср</t>
  </si>
  <si>
    <t>A - Acp</t>
  </si>
  <si>
    <t>t-tcp</t>
  </si>
  <si>
    <t>b*(-1)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</si>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</sst>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3" fillId="2" borderId="1" applyNumberFormat="0" applyAlignment="0" applyProtection="0"/>
    <xf numFmtId="0" fontId="6" fillId="2" borderId="3" applyNumberFormat="0" applyAlignment="0" applyProtection="0"/>
    <xf numFmtId="0" fontId="7" fillId="3" borderId="4" applyNumberFormat="0" applyAlignment="0" applyProtection="0"/>
    <xf numFmtId="0" fontId="5" fillId="4" borderId="5" applyNumberFormat="0" applyFont="0" applyAlignment="0" applyProtection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2" borderId="1" xfId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2" borderId="0" xfId="1" applyBorder="1" applyAlignment="1">
      <alignment horizontal="center" vertical="center"/>
    </xf>
    <xf numFmtId="0" fontId="3" fillId="2" borderId="0" xfId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3" fillId="2" borderId="1" xfId="1" applyAlignment="1">
      <alignment horizontal="center"/>
    </xf>
    <xf numFmtId="0" fontId="6" fillId="2" borderId="3" xfId="2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0" fontId="6" fillId="2" borderId="3" xfId="2" applyAlignment="1">
      <alignment horizontal="right"/>
    </xf>
    <xf numFmtId="165" fontId="6" fillId="2" borderId="3" xfId="2" applyNumberFormat="1" applyAlignment="1">
      <alignment horizontal="center" vertical="center"/>
    </xf>
    <xf numFmtId="165" fontId="6" fillId="2" borderId="3" xfId="2" applyNumberFormat="1" applyAlignment="1">
      <alignment horizontal="center"/>
    </xf>
    <xf numFmtId="0" fontId="8" fillId="0" borderId="0" xfId="5" applyAlignment="1">
      <alignment horizontal="center"/>
    </xf>
    <xf numFmtId="0" fontId="0" fillId="4" borderId="5" xfId="4" applyFont="1" applyAlignment="1">
      <alignment horizontal="right"/>
    </xf>
    <xf numFmtId="0" fontId="0" fillId="4" borderId="5" xfId="4" applyFont="1" applyAlignment="1">
      <alignment horizontal="center"/>
    </xf>
    <xf numFmtId="164" fontId="0" fillId="4" borderId="5" xfId="4" applyNumberFormat="1" applyFont="1" applyAlignment="1">
      <alignment horizontal="center"/>
    </xf>
    <xf numFmtId="165" fontId="0" fillId="4" borderId="5" xfId="4" applyNumberFormat="1" applyFont="1" applyAlignment="1">
      <alignment horizontal="center"/>
    </xf>
    <xf numFmtId="0" fontId="6" fillId="2" borderId="3" xfId="2" applyAlignment="1">
      <alignment horizontal="center" vertical="center"/>
    </xf>
    <xf numFmtId="0" fontId="7" fillId="3" borderId="4" xfId="3" applyAlignment="1">
      <alignment horizontal="center" vertical="center"/>
    </xf>
    <xf numFmtId="2" fontId="6" fillId="2" borderId="3" xfId="2" applyNumberFormat="1" applyAlignment="1">
      <alignment horizontal="center" vertical="center"/>
    </xf>
    <xf numFmtId="1" fontId="6" fillId="2" borderId="3" xfId="2" applyNumberFormat="1" applyAlignment="1">
      <alignment horizontal="center"/>
    </xf>
    <xf numFmtId="0" fontId="8" fillId="0" borderId="0" xfId="5"/>
    <xf numFmtId="164" fontId="0" fillId="0" borderId="0" xfId="0" applyNumberFormat="1"/>
    <xf numFmtId="1" fontId="0" fillId="0" borderId="0" xfId="0" applyNumberFormat="1" applyAlignment="1">
      <alignment horizontal="center"/>
    </xf>
    <xf numFmtId="2" fontId="0" fillId="4" borderId="5" xfId="4" applyNumberFormat="1" applyFont="1" applyAlignment="1">
      <alignment horizontal="center"/>
    </xf>
    <xf numFmtId="164" fontId="0" fillId="0" borderId="0" xfId="0" applyNumberFormat="1" applyAlignment="1">
      <alignment horizontal="left"/>
    </xf>
    <xf numFmtId="166" fontId="0" fillId="0" borderId="0" xfId="0" applyNumberFormat="1"/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/>
  </cellXfs>
  <cellStyles count="6">
    <cellStyle name="Вывод" xfId="1" builtinId="21"/>
    <cellStyle name="Вычисление" xfId="2" builtinId="22"/>
    <cellStyle name="Контрольная ячейка" xfId="3" builtinId="23"/>
    <cellStyle name="Обычный" xfId="0" builtinId="0"/>
    <cellStyle name="Пояснение" xfId="5" builtinId="53"/>
    <cellStyle name="Примечание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H29"/>
  <sheetViews>
    <sheetView tabSelected="1" topLeftCell="I8" zoomScale="95" workbookViewId="0">
      <selection activeCell="O27" sqref="O27"/>
    </sheetView>
  </sheetViews>
  <sheetFormatPr defaultRowHeight="14.25" x14ac:dyDescent="0.45"/>
  <cols>
    <col min="1" max="1" width="12.1328125" customWidth="1"/>
    <col min="2" max="2" width="13.53125" bestFit="1" customWidth="1"/>
    <col min="3" max="3" width="13" customWidth="1"/>
    <col min="4" max="6" width="11.1328125" bestFit="1" customWidth="1"/>
    <col min="7" max="7" width="10.6640625" bestFit="1" customWidth="1"/>
    <col min="10" max="10" width="16.1328125" customWidth="1"/>
    <col min="17" max="17" width="7.46484375" customWidth="1"/>
    <col min="18" max="18" width="11" customWidth="1"/>
    <col min="19" max="24" width="9.46484375" bestFit="1" customWidth="1"/>
    <col min="28" max="28" width="7.53125" customWidth="1"/>
    <col min="29" max="29" width="6.1328125" customWidth="1"/>
    <col min="30" max="30" width="3.53125" customWidth="1"/>
    <col min="31" max="31" width="3.33203125" customWidth="1"/>
  </cols>
  <sheetData>
    <row r="2" spans="1:34" x14ac:dyDescent="0.45">
      <c r="B2" t="s">
        <v>0</v>
      </c>
      <c r="J2" t="s">
        <v>10</v>
      </c>
    </row>
    <row r="3" spans="1:34" ht="36" customHeight="1" x14ac:dyDescent="0.45">
      <c r="B3" s="2"/>
      <c r="C3" s="3" t="s">
        <v>2</v>
      </c>
      <c r="D3" s="3" t="s">
        <v>3</v>
      </c>
      <c r="E3" s="3" t="s">
        <v>4</v>
      </c>
      <c r="F3" s="3" t="s">
        <v>1</v>
      </c>
      <c r="G3" s="3" t="s">
        <v>5</v>
      </c>
      <c r="J3" s="6" t="s">
        <v>12</v>
      </c>
      <c r="K3" s="3" t="s">
        <v>6</v>
      </c>
      <c r="L3" s="3" t="s">
        <v>7</v>
      </c>
      <c r="M3" s="3" t="s">
        <v>8</v>
      </c>
      <c r="N3" s="3" t="s">
        <v>9</v>
      </c>
      <c r="O3" s="3" t="s">
        <v>11</v>
      </c>
      <c r="P3" s="18" t="s">
        <v>24</v>
      </c>
      <c r="R3" s="5" t="s">
        <v>19</v>
      </c>
      <c r="S3" s="3">
        <v>1</v>
      </c>
      <c r="T3" s="3">
        <v>2</v>
      </c>
      <c r="U3" s="3">
        <v>3</v>
      </c>
      <c r="V3" s="3">
        <v>4</v>
      </c>
      <c r="W3" s="3">
        <v>5</v>
      </c>
      <c r="X3" s="3">
        <v>6</v>
      </c>
      <c r="AB3" s="1" t="s">
        <v>44</v>
      </c>
      <c r="AC3" s="1" t="s">
        <v>21</v>
      </c>
      <c r="AD3" s="1"/>
      <c r="AF3" s="1" t="s">
        <v>27</v>
      </c>
      <c r="AG3" s="1" t="s">
        <v>28</v>
      </c>
      <c r="AH3" s="1" t="s">
        <v>46</v>
      </c>
    </row>
    <row r="4" spans="1:34" ht="15.75" x14ac:dyDescent="0.55000000000000004">
      <c r="B4" s="3" t="s">
        <v>6</v>
      </c>
      <c r="C4" s="8">
        <v>43.5</v>
      </c>
      <c r="D4" s="8">
        <v>86.91</v>
      </c>
      <c r="E4" s="8">
        <v>142.83000000000001</v>
      </c>
      <c r="F4" s="8">
        <v>203.43</v>
      </c>
      <c r="G4" s="8">
        <v>291.66000000000003</v>
      </c>
      <c r="J4" s="9" t="s">
        <v>13</v>
      </c>
      <c r="K4" s="1">
        <v>16.02</v>
      </c>
      <c r="L4" s="1">
        <v>16.079999999999998</v>
      </c>
      <c r="M4" s="1">
        <v>15.89</v>
      </c>
      <c r="N4" s="7">
        <f>SUM(K4:M4)/3</f>
        <v>15.996666666666664</v>
      </c>
      <c r="O4" s="7">
        <f>N4/10</f>
        <v>1.5996666666666663</v>
      </c>
      <c r="P4" s="28">
        <f>O4^2</f>
        <v>2.5589334444444436</v>
      </c>
      <c r="R4" s="1" t="s">
        <v>42</v>
      </c>
      <c r="S4" s="32">
        <f>(57+(Q16-1)*25+20)/1000</f>
        <v>7.6999999999999999E-2</v>
      </c>
      <c r="T4" s="32"/>
      <c r="U4" s="32"/>
      <c r="V4" s="32"/>
      <c r="W4" s="32"/>
      <c r="X4" s="32"/>
      <c r="AB4" s="12">
        <f>P4</f>
        <v>2.5589334444444436</v>
      </c>
      <c r="AC4" s="12">
        <f>S8</f>
        <v>3.1905128000000005E-2</v>
      </c>
      <c r="AD4" s="12"/>
      <c r="AF4" s="26">
        <f>AB4-$AB$14*AC4</f>
        <v>2.5304521997390417E-2</v>
      </c>
      <c r="AG4" s="26">
        <f>AF4^2</f>
        <v>6.4031883351641547E-4</v>
      </c>
      <c r="AH4" s="26">
        <f>AC4^2</f>
        <v>1.0179371926963842E-3</v>
      </c>
    </row>
    <row r="5" spans="1:34" ht="15.75" x14ac:dyDescent="0.55000000000000004">
      <c r="B5" s="3" t="s">
        <v>7</v>
      </c>
      <c r="C5" s="8">
        <v>38.15</v>
      </c>
      <c r="D5" s="8">
        <v>81.59</v>
      </c>
      <c r="E5" s="8">
        <v>139.32</v>
      </c>
      <c r="F5" s="8">
        <v>200.33</v>
      </c>
      <c r="G5" s="8">
        <v>277.19</v>
      </c>
      <c r="J5" s="9" t="s">
        <v>14</v>
      </c>
      <c r="K5" s="1">
        <v>16.850000000000001</v>
      </c>
      <c r="L5" s="1">
        <v>16.78</v>
      </c>
      <c r="M5" s="1">
        <v>16.760000000000002</v>
      </c>
      <c r="N5" s="7">
        <f t="shared" ref="N5:N9" si="0">SUM(K5:M5)/3</f>
        <v>16.796666666666667</v>
      </c>
      <c r="O5" s="7">
        <f t="shared" ref="O5:O9" si="1">N5/10</f>
        <v>1.6796666666666666</v>
      </c>
      <c r="P5" s="28">
        <f t="shared" ref="P5:P9" si="2">O5^2</f>
        <v>2.8212801111111112</v>
      </c>
      <c r="R5" s="1" t="s">
        <v>41</v>
      </c>
      <c r="S5" s="32">
        <f>(57+(Q17-1)*25+20)/1000</f>
        <v>0.20200000000000001</v>
      </c>
      <c r="T5" s="32"/>
      <c r="U5" s="32"/>
      <c r="V5" s="32"/>
      <c r="W5" s="32"/>
      <c r="X5" s="32"/>
      <c r="AB5" s="12">
        <f t="shared" ref="AB5:AB9" si="3">P5</f>
        <v>2.8212801111111112</v>
      </c>
      <c r="AC5" s="12">
        <f>T8</f>
        <v>3.5556727999999996E-2</v>
      </c>
      <c r="AD5" s="12"/>
      <c r="AF5" s="26">
        <f t="shared" ref="AF5:AF9" si="4">AB5-$AB$14*AC5</f>
        <v>-2.3272553405431218E-3</v>
      </c>
      <c r="AG5" s="26">
        <f t="shared" ref="AG5:AG9" si="5">AF5^2</f>
        <v>5.4161174200864818E-6</v>
      </c>
      <c r="AH5" s="26">
        <f t="shared" ref="AH5:AH9" si="6">AC5^2</f>
        <v>1.2642809060659837E-3</v>
      </c>
    </row>
    <row r="6" spans="1:34" ht="15.75" x14ac:dyDescent="0.55000000000000004">
      <c r="B6" s="3" t="s">
        <v>8</v>
      </c>
      <c r="C6" s="8">
        <v>40.4</v>
      </c>
      <c r="D6" s="8">
        <v>86.97</v>
      </c>
      <c r="E6" s="8">
        <v>141.07</v>
      </c>
      <c r="F6" s="8">
        <v>200.46</v>
      </c>
      <c r="G6" s="8">
        <v>281.04000000000002</v>
      </c>
      <c r="J6" s="9" t="s">
        <v>15</v>
      </c>
      <c r="K6" s="1">
        <v>17.690000000000001</v>
      </c>
      <c r="L6" s="1">
        <v>17.71</v>
      </c>
      <c r="M6" s="1">
        <v>17.760000000000002</v>
      </c>
      <c r="N6" s="7">
        <f t="shared" si="0"/>
        <v>17.720000000000002</v>
      </c>
      <c r="O6" s="7">
        <f t="shared" si="1"/>
        <v>1.7720000000000002</v>
      </c>
      <c r="P6" s="28">
        <f t="shared" si="2"/>
        <v>3.139984000000001</v>
      </c>
      <c r="R6" s="1" t="s">
        <v>40</v>
      </c>
      <c r="S6">
        <f>(57+(Q16-1)*25+20)/1000</f>
        <v>7.6999999999999999E-2</v>
      </c>
      <c r="T6">
        <f t="shared" ref="T6:X6" si="7">(57+(R16-1)*25+20)/1000</f>
        <v>0.10199999999999999</v>
      </c>
      <c r="U6">
        <f t="shared" si="7"/>
        <v>0.127</v>
      </c>
      <c r="V6">
        <f t="shared" si="7"/>
        <v>0.152</v>
      </c>
      <c r="W6">
        <f t="shared" si="7"/>
        <v>0.17699999999999999</v>
      </c>
      <c r="X6">
        <f t="shared" si="7"/>
        <v>0.20200000000000001</v>
      </c>
      <c r="AB6" s="12">
        <f t="shared" si="3"/>
        <v>3.139984000000001</v>
      </c>
      <c r="AC6" s="12">
        <f>U8</f>
        <v>4.0228328000000001E-2</v>
      </c>
      <c r="AD6" s="12"/>
      <c r="AF6" s="26">
        <f t="shared" si="4"/>
        <v>-5.4601375820669595E-2</v>
      </c>
      <c r="AG6" s="26">
        <f t="shared" si="5"/>
        <v>2.9813102415100021E-3</v>
      </c>
      <c r="AH6" s="26">
        <f t="shared" si="6"/>
        <v>1.6183183736755841E-3</v>
      </c>
    </row>
    <row r="7" spans="1:34" ht="15.75" x14ac:dyDescent="0.55000000000000004">
      <c r="B7" s="3" t="s">
        <v>25</v>
      </c>
      <c r="C7" s="8">
        <f>SUM(C4:C6)/3</f>
        <v>40.683333333333337</v>
      </c>
      <c r="D7" s="8">
        <f t="shared" ref="D7:G7" si="8">SUM(D4:D6)/3</f>
        <v>85.156666666666666</v>
      </c>
      <c r="E7" s="8">
        <f t="shared" si="8"/>
        <v>141.07333333333332</v>
      </c>
      <c r="F7" s="8">
        <f t="shared" si="8"/>
        <v>201.40666666666667</v>
      </c>
      <c r="G7" s="8">
        <f t="shared" si="8"/>
        <v>283.29666666666668</v>
      </c>
      <c r="H7" s="1"/>
      <c r="J7" s="9" t="s">
        <v>16</v>
      </c>
      <c r="K7" s="1">
        <v>19.34</v>
      </c>
      <c r="L7" s="1">
        <v>19.329999999999998</v>
      </c>
      <c r="M7" s="1">
        <v>19.329999999999998</v>
      </c>
      <c r="N7" s="7">
        <f t="shared" si="0"/>
        <v>19.333333333333332</v>
      </c>
      <c r="O7" s="7">
        <f t="shared" si="1"/>
        <v>1.9333333333333331</v>
      </c>
      <c r="P7" s="28">
        <f t="shared" si="2"/>
        <v>3.7377777777777768</v>
      </c>
      <c r="R7" s="31" t="s">
        <v>20</v>
      </c>
      <c r="S7" s="26">
        <f>0.408*($S$4^2+$S$5^2+2*S6^2)</f>
        <v>2.3905128000000005E-2</v>
      </c>
      <c r="T7" s="26">
        <f t="shared" ref="T7:W7" si="9">0.408*($S$4^2+$S$5^2+2*T6^2)</f>
        <v>2.7556727999999999E-2</v>
      </c>
      <c r="U7" s="26">
        <f>0.408*($S$4^2+$S$5^2+2*U6^2)</f>
        <v>3.2228328000000001E-2</v>
      </c>
      <c r="V7" s="26">
        <f t="shared" si="9"/>
        <v>3.7919927999999999E-2</v>
      </c>
      <c r="W7" s="26">
        <f t="shared" si="9"/>
        <v>4.4631527999999997E-2</v>
      </c>
      <c r="X7" s="26">
        <f>0.408*($S$4^2+$S$5^2+2*X6^2)</f>
        <v>5.2363128000000016E-2</v>
      </c>
      <c r="AB7" s="12">
        <f t="shared" si="3"/>
        <v>3.7377777777777768</v>
      </c>
      <c r="AC7" s="12">
        <f>V8</f>
        <v>4.5919927999999999E-2</v>
      </c>
      <c r="AD7" s="12"/>
      <c r="AF7" s="26">
        <f t="shared" si="4"/>
        <v>9.1214827223676131E-2</v>
      </c>
      <c r="AG7" s="26">
        <f t="shared" si="5"/>
        <v>8.3201447054450876E-3</v>
      </c>
      <c r="AH7" s="26">
        <f t="shared" si="6"/>
        <v>2.1086397875251838E-3</v>
      </c>
    </row>
    <row r="8" spans="1:34" x14ac:dyDescent="0.45">
      <c r="B8" s="2"/>
      <c r="C8" s="2"/>
      <c r="D8" s="2"/>
      <c r="E8" s="2"/>
      <c r="F8" s="2"/>
      <c r="G8" s="2"/>
      <c r="H8" s="2"/>
      <c r="J8" s="9" t="s">
        <v>18</v>
      </c>
      <c r="K8" s="1">
        <v>20.309999999999999</v>
      </c>
      <c r="L8" s="7">
        <v>20.3</v>
      </c>
      <c r="M8" s="1">
        <v>20.32</v>
      </c>
      <c r="N8" s="7">
        <f t="shared" si="0"/>
        <v>20.309999999999999</v>
      </c>
      <c r="O8" s="7">
        <f t="shared" si="1"/>
        <v>2.0309999999999997</v>
      </c>
      <c r="P8" s="28">
        <f t="shared" si="2"/>
        <v>4.124960999999999</v>
      </c>
      <c r="R8" s="1" t="s">
        <v>21</v>
      </c>
      <c r="S8" s="26">
        <f>S7+0.008</f>
        <v>3.1905128000000005E-2</v>
      </c>
      <c r="T8" s="26">
        <f t="shared" ref="T8:X8" si="10">T7+0.008</f>
        <v>3.5556727999999996E-2</v>
      </c>
      <c r="U8" s="26">
        <f t="shared" si="10"/>
        <v>4.0228328000000001E-2</v>
      </c>
      <c r="V8" s="26">
        <f t="shared" si="10"/>
        <v>4.5919927999999999E-2</v>
      </c>
      <c r="W8" s="26">
        <f t="shared" si="10"/>
        <v>5.2631527999999997E-2</v>
      </c>
      <c r="X8" s="26">
        <f t="shared" si="10"/>
        <v>6.0363128000000016E-2</v>
      </c>
      <c r="AB8" s="12">
        <f t="shared" si="3"/>
        <v>4.124960999999999</v>
      </c>
      <c r="AC8" s="12">
        <f>W8</f>
        <v>5.2631527999999997E-2</v>
      </c>
      <c r="AD8" s="12"/>
      <c r="AF8" s="26">
        <f t="shared" si="4"/>
        <v>-5.4579090651944995E-2</v>
      </c>
      <c r="AG8" s="26">
        <f t="shared" si="5"/>
        <v>2.9788771363932296E-3</v>
      </c>
      <c r="AH8" s="26">
        <f t="shared" si="6"/>
        <v>2.7700777396147836E-3</v>
      </c>
    </row>
    <row r="9" spans="1:34" ht="15.75" x14ac:dyDescent="0.55000000000000004">
      <c r="B9" s="2"/>
      <c r="C9" s="4">
        <f>C7^2</f>
        <v>1655.1336111111113</v>
      </c>
      <c r="D9" s="4">
        <f t="shared" ref="D9:G9" si="11">D7^2</f>
        <v>7251.6578777777777</v>
      </c>
      <c r="E9" s="4">
        <f t="shared" si="11"/>
        <v>19901.685377777776</v>
      </c>
      <c r="F9" s="4">
        <f t="shared" si="11"/>
        <v>40564.645377777779</v>
      </c>
      <c r="G9" s="4">
        <f t="shared" si="11"/>
        <v>80257.001344444448</v>
      </c>
      <c r="H9" s="2"/>
      <c r="J9" s="9" t="s">
        <v>17</v>
      </c>
      <c r="K9" s="1">
        <v>21.86</v>
      </c>
      <c r="L9" s="1">
        <v>21.89</v>
      </c>
      <c r="M9" s="1">
        <v>21.95</v>
      </c>
      <c r="N9" s="7">
        <f t="shared" si="0"/>
        <v>21.900000000000002</v>
      </c>
      <c r="O9" s="7">
        <f t="shared" si="1"/>
        <v>2.1900000000000004</v>
      </c>
      <c r="P9" s="28">
        <f t="shared" si="2"/>
        <v>4.7961000000000018</v>
      </c>
      <c r="R9" s="1" t="s">
        <v>22</v>
      </c>
      <c r="S9" s="26">
        <f>P13</f>
        <v>0.63648566691661856</v>
      </c>
      <c r="T9" s="26">
        <f>P14</f>
        <v>0.70173937386988317</v>
      </c>
      <c r="U9" s="26">
        <f>P15</f>
        <v>0.78101086008565879</v>
      </c>
      <c r="V9" s="26">
        <f>P16</f>
        <v>0.92970060899395757</v>
      </c>
      <c r="W9" s="26">
        <f>P17</f>
        <v>1.0260050173598965</v>
      </c>
      <c r="X9" s="26">
        <f>P18</f>
        <v>1.1929379850524169</v>
      </c>
      <c r="AB9" s="12">
        <f t="shared" si="3"/>
        <v>4.7961000000000018</v>
      </c>
      <c r="AC9" s="12">
        <f>X8</f>
        <v>6.0363128000000016E-2</v>
      </c>
      <c r="AD9" s="12"/>
      <c r="AF9" s="26">
        <f t="shared" si="4"/>
        <v>2.5832038857984685E-3</v>
      </c>
      <c r="AG9" s="26">
        <f t="shared" si="5"/>
        <v>6.6729423156043067E-6</v>
      </c>
      <c r="AH9" s="26">
        <f t="shared" si="6"/>
        <v>3.643707221944386E-3</v>
      </c>
    </row>
    <row r="10" spans="1:34" ht="16.149999999999999" thickBot="1" x14ac:dyDescent="0.6">
      <c r="B10" s="2">
        <v>30</v>
      </c>
      <c r="C10" s="2">
        <v>25</v>
      </c>
      <c r="D10" s="2">
        <v>20</v>
      </c>
      <c r="E10" s="2">
        <v>15</v>
      </c>
      <c r="F10" s="2">
        <v>10</v>
      </c>
      <c r="G10" s="2">
        <v>5</v>
      </c>
      <c r="J10" s="1"/>
      <c r="K10" s="1"/>
      <c r="L10" s="1"/>
      <c r="M10" s="1"/>
      <c r="N10" s="1"/>
      <c r="O10" s="1"/>
      <c r="P10" s="1"/>
      <c r="R10" s="1" t="s">
        <v>23</v>
      </c>
      <c r="S10" s="26">
        <f>S8/$AB$15</f>
        <v>0.63019165188684811</v>
      </c>
      <c r="T10" s="26">
        <f t="shared" ref="T10:X10" si="12">T8/$AB$15</f>
        <v>0.70231823404724592</v>
      </c>
      <c r="U10" s="26">
        <f t="shared" si="12"/>
        <v>0.79459190619658204</v>
      </c>
      <c r="V10" s="26">
        <f t="shared" si="12"/>
        <v>0.90701266833485594</v>
      </c>
      <c r="W10" s="26">
        <f t="shared" si="12"/>
        <v>1.0395805204620678</v>
      </c>
      <c r="X10" s="26">
        <f t="shared" si="12"/>
        <v>1.1922954625782181</v>
      </c>
      <c r="AB10" s="12"/>
      <c r="AC10" s="12"/>
      <c r="AD10" s="12"/>
    </row>
    <row r="11" spans="1:34" ht="15" thickTop="1" thickBot="1" x14ac:dyDescent="0.5">
      <c r="B11" s="22" t="s">
        <v>26</v>
      </c>
      <c r="C11" s="2" t="s">
        <v>33</v>
      </c>
      <c r="D11" s="2"/>
      <c r="E11" s="2"/>
      <c r="F11" s="2"/>
      <c r="J11" s="1"/>
      <c r="K11" s="1"/>
      <c r="L11" s="1"/>
      <c r="M11" s="1"/>
      <c r="N11" s="1"/>
      <c r="O11" s="1"/>
      <c r="P11" s="1"/>
      <c r="AB11" s="12"/>
      <c r="AC11" s="12"/>
      <c r="AD11" s="12"/>
    </row>
    <row r="12" spans="1:34" ht="14.65" thickTop="1" x14ac:dyDescent="0.45">
      <c r="A12" s="13" t="s">
        <v>34</v>
      </c>
      <c r="B12" s="21">
        <v>0</v>
      </c>
      <c r="C12" s="23">
        <f>-LN(C10/30)</f>
        <v>0.18232155679395459</v>
      </c>
      <c r="D12" s="23">
        <f t="shared" ref="D12:G12" si="13">-LN(D10/30)</f>
        <v>0.40546510810816444</v>
      </c>
      <c r="E12" s="23">
        <f t="shared" si="13"/>
        <v>0.69314718055994529</v>
      </c>
      <c r="F12" s="23">
        <f t="shared" si="13"/>
        <v>1.0986122886681098</v>
      </c>
      <c r="G12" s="23">
        <f t="shared" si="13"/>
        <v>1.791759469228055</v>
      </c>
      <c r="J12" s="1"/>
      <c r="K12" s="1"/>
      <c r="L12" s="1"/>
      <c r="M12" s="1"/>
      <c r="N12" s="1"/>
      <c r="O12" s="1"/>
      <c r="P12" s="1"/>
      <c r="S12">
        <f>(2*4*0.408*9.81*(1-(3)^0.5/2)*0.03/S8)^0.5</f>
        <v>2.0084045141623146</v>
      </c>
      <c r="T12">
        <f t="shared" ref="T12:X12" si="14">(2*4*0.408*9.81*(1-(3)^0.5/2)*0.03/T8)^0.5</f>
        <v>1.9024819267498576</v>
      </c>
      <c r="U12">
        <f t="shared" si="14"/>
        <v>1.7886091298629048</v>
      </c>
      <c r="V12">
        <f t="shared" si="14"/>
        <v>1.6740978369901109</v>
      </c>
      <c r="W12">
        <f t="shared" si="14"/>
        <v>1.5637180352777049</v>
      </c>
      <c r="X12">
        <f t="shared" si="14"/>
        <v>1.4601435896364232</v>
      </c>
      <c r="AB12" s="12"/>
      <c r="AC12" s="12"/>
      <c r="AD12" s="12"/>
    </row>
    <row r="13" spans="1:34" x14ac:dyDescent="0.45">
      <c r="B13" s="2"/>
      <c r="C13" s="2"/>
      <c r="D13" s="2"/>
      <c r="E13" s="2"/>
      <c r="F13" s="2"/>
      <c r="J13" s="1"/>
      <c r="K13" s="1"/>
      <c r="L13" s="1"/>
      <c r="M13" s="1"/>
      <c r="N13" s="1"/>
      <c r="O13" s="1"/>
      <c r="P13" s="16">
        <f>P4/4/PI()/PI()*9.8195</f>
        <v>0.63648566691661856</v>
      </c>
      <c r="Q13" s="25"/>
      <c r="R13" s="25"/>
      <c r="S13" s="25"/>
      <c r="T13" s="25"/>
      <c r="U13" s="25"/>
      <c r="V13" s="25"/>
      <c r="AB13" s="12"/>
      <c r="AC13" s="12"/>
      <c r="AD13" s="12"/>
    </row>
    <row r="14" spans="1:34" x14ac:dyDescent="0.45">
      <c r="B14" s="2"/>
      <c r="C14" s="2"/>
      <c r="D14" s="2"/>
      <c r="E14" s="2"/>
      <c r="F14" s="2"/>
      <c r="J14" s="1"/>
      <c r="K14" s="1"/>
      <c r="L14" s="1"/>
      <c r="M14" s="1"/>
      <c r="N14" s="1"/>
      <c r="O14" s="1"/>
      <c r="P14" s="16">
        <f t="shared" ref="P14:P18" si="15">P5/4/PI()/PI()*9.8195</f>
        <v>0.70173937386988317</v>
      </c>
      <c r="Q14" s="25"/>
      <c r="R14" s="25"/>
      <c r="S14" s="25"/>
      <c r="T14" s="25"/>
      <c r="U14" s="25"/>
      <c r="V14" s="25"/>
      <c r="AA14" s="11" t="s">
        <v>45</v>
      </c>
      <c r="AB14" s="27">
        <f>(AB4*AC4+AB5*AC5+AB6*AC6+AB7*AC7+AB8*AC8+AB9*AC9)/(AC4^2+AC5^2+AC6^2+AC7^2+AC8^2+AC9^2)</f>
        <v>79.4113385925627</v>
      </c>
      <c r="AC14" s="12"/>
      <c r="AD14" s="12" t="s">
        <v>47</v>
      </c>
      <c r="AE14" s="30">
        <f>2*(SUM(AG4:AG9)/5/SUM(AH4:AH9))^0.5</f>
        <v>0.98062323694037457</v>
      </c>
    </row>
    <row r="15" spans="1:34" x14ac:dyDescent="0.45">
      <c r="A15" s="13" t="s">
        <v>35</v>
      </c>
      <c r="B15" s="14">
        <f>(C7*C12+D7*D12+E7*E12+F7*F12+G7*G12)/(C9+D9+E9+F9+G9)</f>
        <v>5.8049635478757975E-3</v>
      </c>
      <c r="C15" s="2"/>
      <c r="D15" s="2"/>
      <c r="E15" s="2"/>
      <c r="F15" s="2"/>
      <c r="G15" s="1"/>
      <c r="J15" s="1"/>
      <c r="K15" s="1"/>
      <c r="L15" s="1"/>
      <c r="M15" s="1"/>
      <c r="N15" s="1"/>
      <c r="O15" s="1"/>
      <c r="P15" s="16">
        <f t="shared" si="15"/>
        <v>0.78101086008565879</v>
      </c>
      <c r="Q15" s="25"/>
      <c r="R15" s="25"/>
      <c r="S15" s="25"/>
      <c r="T15" s="25"/>
      <c r="U15" s="25"/>
      <c r="V15" s="25"/>
      <c r="AA15" s="11" t="s">
        <v>39</v>
      </c>
      <c r="AB15" s="12">
        <f>4*PI()*PI()/9.8195/AB14</f>
        <v>5.0627658910544597E-2</v>
      </c>
      <c r="AC15" s="29" t="s">
        <v>49</v>
      </c>
      <c r="AD15" s="12"/>
    </row>
    <row r="16" spans="1:34" ht="15.75" x14ac:dyDescent="0.55000000000000004">
      <c r="A16" s="13" t="s">
        <v>36</v>
      </c>
      <c r="B16" s="15">
        <f>2*B23</f>
        <v>5.9667096159084774E-4</v>
      </c>
      <c r="C16" s="1"/>
      <c r="D16" s="1"/>
      <c r="E16" s="1"/>
      <c r="F16" s="1"/>
      <c r="G16" s="1"/>
      <c r="J16" s="1"/>
      <c r="K16" s="1"/>
      <c r="L16" s="1"/>
      <c r="M16" s="1"/>
      <c r="N16" s="1"/>
      <c r="O16" s="1"/>
      <c r="P16" s="16">
        <f t="shared" si="15"/>
        <v>0.92970060899395757</v>
      </c>
      <c r="Q16" s="25">
        <v>1</v>
      </c>
      <c r="R16" s="25">
        <v>2</v>
      </c>
      <c r="S16" s="25">
        <v>3</v>
      </c>
      <c r="T16" s="25">
        <v>4</v>
      </c>
      <c r="U16" s="25">
        <v>5</v>
      </c>
      <c r="V16" s="25">
        <v>6</v>
      </c>
      <c r="AA16" s="11" t="s">
        <v>43</v>
      </c>
      <c r="AB16" s="12">
        <f>AB15/0.408/4</f>
        <v>3.1021849822637622E-2</v>
      </c>
      <c r="AC16" s="29" t="s">
        <v>48</v>
      </c>
      <c r="AD16" s="12"/>
    </row>
    <row r="17" spans="1:22" x14ac:dyDescent="0.45">
      <c r="A17" s="13" t="s">
        <v>37</v>
      </c>
      <c r="B17" s="24">
        <f>1/B15</f>
        <v>172.2663702799527</v>
      </c>
      <c r="C17" s="1"/>
      <c r="D17" s="1"/>
      <c r="E17" s="1"/>
      <c r="F17" s="1"/>
      <c r="G17" s="1"/>
      <c r="J17" s="1"/>
      <c r="K17" s="1"/>
      <c r="L17" s="1"/>
      <c r="M17" s="1"/>
      <c r="N17" s="1"/>
      <c r="O17" s="1"/>
      <c r="P17" s="16">
        <f t="shared" si="15"/>
        <v>1.0260050173598965</v>
      </c>
      <c r="Q17" s="25">
        <v>6</v>
      </c>
      <c r="R17" s="25"/>
      <c r="S17" s="25"/>
      <c r="T17" s="25"/>
      <c r="U17" s="25"/>
      <c r="V17" s="25"/>
    </row>
    <row r="18" spans="1:22" x14ac:dyDescent="0.45">
      <c r="A18" s="13" t="s">
        <v>38</v>
      </c>
      <c r="B18" s="10">
        <v>18</v>
      </c>
      <c r="C18" s="1"/>
      <c r="D18" s="1"/>
      <c r="E18" s="1"/>
      <c r="F18" s="1"/>
      <c r="G18" s="1"/>
      <c r="J18" s="1"/>
      <c r="K18" s="1"/>
      <c r="L18" s="1"/>
      <c r="M18" s="1"/>
      <c r="N18" s="1"/>
      <c r="O18" s="1"/>
      <c r="P18" s="16">
        <f t="shared" si="15"/>
        <v>1.1929379850524169</v>
      </c>
      <c r="Q18" s="25"/>
      <c r="R18" s="25"/>
      <c r="S18" s="25">
        <f>X4</f>
        <v>0</v>
      </c>
      <c r="T18" s="25"/>
      <c r="U18" s="25"/>
      <c r="V18" s="25"/>
    </row>
    <row r="19" spans="1:22" ht="15.75" x14ac:dyDescent="0.55000000000000004">
      <c r="A19" s="17" t="s">
        <v>29</v>
      </c>
      <c r="B19" s="18"/>
      <c r="C19" s="19">
        <f>C12-$B$15*C7</f>
        <v>-5.3843710212125778E-2</v>
      </c>
      <c r="D19" s="19">
        <f t="shared" ref="D19:G19" si="16">D12-$B$15*D7</f>
        <v>-8.8866237750445554E-2</v>
      </c>
      <c r="E19" s="19">
        <f t="shared" si="16"/>
        <v>-0.12577837701738637</v>
      </c>
      <c r="F19" s="19">
        <f t="shared" si="16"/>
        <v>-7.0546069631061581E-2</v>
      </c>
      <c r="G19" s="19">
        <f t="shared" si="16"/>
        <v>0.14723264599333441</v>
      </c>
      <c r="P19" s="1"/>
    </row>
    <row r="20" spans="1:22" ht="15.75" x14ac:dyDescent="0.55000000000000004">
      <c r="A20" s="17" t="s">
        <v>30</v>
      </c>
      <c r="B20" s="18"/>
      <c r="C20" s="19">
        <f>C19^2</f>
        <v>2.8991451294073777E-3</v>
      </c>
      <c r="D20" s="19">
        <f t="shared" ref="D20:G20" si="17">D19^2</f>
        <v>7.8972082119187145E-3</v>
      </c>
      <c r="E20" s="19">
        <f t="shared" si="17"/>
        <v>1.5820200125127786E-2</v>
      </c>
      <c r="F20" s="19">
        <f t="shared" si="17"/>
        <v>4.9767479403905893E-3</v>
      </c>
      <c r="G20" s="19">
        <f t="shared" si="17"/>
        <v>2.1677452046198531E-2</v>
      </c>
    </row>
    <row r="21" spans="1:22" x14ac:dyDescent="0.45">
      <c r="A21" s="17"/>
      <c r="B21" s="18"/>
      <c r="C21" s="18"/>
      <c r="D21" s="18"/>
      <c r="E21" s="18"/>
      <c r="F21" s="18"/>
      <c r="G21" s="18"/>
    </row>
    <row r="22" spans="1:22" ht="15.75" x14ac:dyDescent="0.55000000000000004">
      <c r="A22" s="17" t="s">
        <v>31</v>
      </c>
      <c r="B22" s="18">
        <f>SUM(C20:G20)/4/(SUM(C9:G9))</f>
        <v>8.9004059101436718E-8</v>
      </c>
      <c r="C22" s="18"/>
      <c r="D22" s="18"/>
      <c r="E22" s="18"/>
      <c r="F22" s="18"/>
      <c r="G22" s="18"/>
    </row>
    <row r="23" spans="1:22" ht="15.75" x14ac:dyDescent="0.55000000000000004">
      <c r="A23" s="17" t="s">
        <v>32</v>
      </c>
      <c r="B23" s="20">
        <f>(B22)^0.5</f>
        <v>2.9833548079542387E-4</v>
      </c>
      <c r="C23" s="18"/>
      <c r="D23" s="18"/>
      <c r="E23" s="18"/>
      <c r="F23" s="18"/>
      <c r="G23" s="18"/>
    </row>
    <row r="24" spans="1:22" x14ac:dyDescent="0.45">
      <c r="B24" s="1"/>
      <c r="C24" s="1"/>
      <c r="D24" s="1"/>
      <c r="E24" s="1"/>
      <c r="F24" s="1"/>
      <c r="G24" s="1"/>
      <c r="K24">
        <f>LN(25)</f>
        <v>3.2188758248682006</v>
      </c>
      <c r="N24" t="s">
        <v>50</v>
      </c>
      <c r="O24">
        <f>AVERAGE(K24:K28)</f>
        <v>2.5669362609905093</v>
      </c>
      <c r="Q24" t="s">
        <v>52</v>
      </c>
      <c r="R24" t="s">
        <v>53</v>
      </c>
    </row>
    <row r="25" spans="1:22" x14ac:dyDescent="0.45">
      <c r="K25">
        <f>LN(20)</f>
        <v>2.9957322735539909</v>
      </c>
      <c r="N25" t="s">
        <v>51</v>
      </c>
      <c r="O25" s="33">
        <f>AVERAGE(C7:G7)</f>
        <v>150.32333333333332</v>
      </c>
      <c r="Q25">
        <f>K24-$O$24</f>
        <v>0.65193956387769125</v>
      </c>
      <c r="R25" s="33">
        <f>C7-$O$25</f>
        <v>-109.63999999999999</v>
      </c>
      <c r="S25" s="33">
        <f t="shared" ref="S25:V25" si="18">D7-$O$25</f>
        <v>-65.166666666666657</v>
      </c>
      <c r="T25" s="33">
        <f t="shared" si="18"/>
        <v>-9.25</v>
      </c>
      <c r="U25" s="33">
        <f t="shared" si="18"/>
        <v>51.083333333333343</v>
      </c>
      <c r="V25" s="33">
        <f t="shared" si="18"/>
        <v>132.97333333333336</v>
      </c>
    </row>
    <row r="26" spans="1:22" x14ac:dyDescent="0.45">
      <c r="K26">
        <f>LN(15)</f>
        <v>2.7080502011022101</v>
      </c>
      <c r="N26" t="s">
        <v>54</v>
      </c>
      <c r="O26">
        <f>SUM(R27:V27)/SUM(R26:V26)</f>
        <v>-6.5917719046179081E-3</v>
      </c>
      <c r="Q26">
        <f t="shared" ref="Q26:Q29" si="19">K25-$O$24</f>
        <v>0.42879601256348154</v>
      </c>
      <c r="R26" s="33">
        <f>R25^2</f>
        <v>12020.929599999998</v>
      </c>
      <c r="S26" s="33">
        <f t="shared" ref="S26:V26" si="20">S25^2</f>
        <v>4246.6944444444434</v>
      </c>
      <c r="T26" s="33">
        <f t="shared" si="20"/>
        <v>85.5625</v>
      </c>
      <c r="U26" s="33">
        <f t="shared" si="20"/>
        <v>2609.5069444444453</v>
      </c>
      <c r="V26" s="33">
        <f t="shared" si="20"/>
        <v>17681.907377777785</v>
      </c>
    </row>
    <row r="27" spans="1:22" x14ac:dyDescent="0.45">
      <c r="K27">
        <f>LN(10)</f>
        <v>2.3025850929940459</v>
      </c>
      <c r="N27" t="s">
        <v>55</v>
      </c>
      <c r="O27">
        <f>O24+O25*O26</f>
        <v>1.5760391357153301</v>
      </c>
      <c r="Q27">
        <f t="shared" si="19"/>
        <v>0.14111394011170075</v>
      </c>
      <c r="R27">
        <f>R25*Q25</f>
        <v>-71.478653783550058</v>
      </c>
      <c r="S27">
        <f>S25*Q26</f>
        <v>-27.94320681872021</v>
      </c>
      <c r="T27">
        <f>T25*Q27</f>
        <v>-1.3053039460332321</v>
      </c>
      <c r="U27">
        <f>U25*Q28</f>
        <v>-13.503938831819342</v>
      </c>
      <c r="V27">
        <f>V25*Q29</f>
        <v>-127.32174706870758</v>
      </c>
    </row>
    <row r="28" spans="1:22" x14ac:dyDescent="0.45">
      <c r="K28">
        <f>LN(5)</f>
        <v>1.6094379124341003</v>
      </c>
      <c r="Q28">
        <f t="shared" si="19"/>
        <v>-0.26435116799646341</v>
      </c>
    </row>
    <row r="29" spans="1:22" x14ac:dyDescent="0.45">
      <c r="Q29">
        <f t="shared" si="19"/>
        <v>-0.95749834855640903</v>
      </c>
    </row>
  </sheetData>
  <mergeCells count="2">
    <mergeCell ref="S4:X4"/>
    <mergeCell ref="S5:X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2023-05-19T13:38:01Z</dcterms:modified>
</cp:coreProperties>
</file>