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white_HDD/qmmm_analysis/"/>
    </mc:Choice>
  </mc:AlternateContent>
  <xr:revisionPtr revIDLastSave="0" documentId="13_ncr:1_{2D8A7880-76D8-CD47-ACAD-5F10A2936F9D}" xr6:coauthVersionLast="47" xr6:coauthVersionMax="47" xr10:uidLastSave="{00000000-0000-0000-0000-000000000000}"/>
  <bookViews>
    <workbookView xWindow="0" yWindow="760" windowWidth="30240" windowHeight="18880" xr2:uid="{FE31E366-C7FE-D64C-8796-D78E1B472D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1" l="1"/>
  <c r="F21" i="1"/>
  <c r="F18" i="1"/>
  <c r="H18" i="1" s="1"/>
  <c r="F17" i="1"/>
  <c r="D59" i="1"/>
  <c r="F59" i="1" s="1"/>
  <c r="C59" i="1"/>
  <c r="D58" i="1"/>
  <c r="F58" i="1" s="1"/>
  <c r="E56" i="1" s="1"/>
  <c r="C58" i="1"/>
  <c r="D55" i="1"/>
  <c r="F55" i="1" s="1"/>
  <c r="H55" i="1" s="1"/>
  <c r="C55" i="1"/>
  <c r="D54" i="1"/>
  <c r="F54" i="1" s="1"/>
  <c r="C54" i="1"/>
  <c r="D70" i="1"/>
  <c r="F70" i="1" s="1"/>
  <c r="D69" i="1"/>
  <c r="C70" i="1"/>
  <c r="C69" i="1"/>
  <c r="D66" i="1"/>
  <c r="F66" i="1" s="1"/>
  <c r="H66" i="1" s="1"/>
  <c r="D65" i="1"/>
  <c r="F65" i="1" s="1"/>
  <c r="E63" i="1" s="1"/>
  <c r="C66" i="1"/>
  <c r="E66" i="1" s="1"/>
  <c r="C65" i="1"/>
  <c r="F48" i="1"/>
  <c r="F47" i="1"/>
  <c r="F43" i="1"/>
  <c r="D33" i="1"/>
  <c r="D32" i="1"/>
  <c r="C33" i="1"/>
  <c r="E33" i="1" s="1"/>
  <c r="C32" i="1"/>
  <c r="F32" i="1" s="1"/>
  <c r="D29" i="1"/>
  <c r="D28" i="1"/>
  <c r="F28" i="1" s="1"/>
  <c r="H28" i="1" s="1"/>
  <c r="C29" i="1"/>
  <c r="E29" i="1" s="1"/>
  <c r="C28" i="1"/>
  <c r="D11" i="1"/>
  <c r="F11" i="1" s="1"/>
  <c r="D10" i="1"/>
  <c r="C11" i="1"/>
  <c r="C10" i="1"/>
  <c r="H2" i="1"/>
  <c r="C7" i="1"/>
  <c r="C6" i="1"/>
  <c r="D7" i="1"/>
  <c r="F7" i="1" s="1"/>
  <c r="D6" i="1"/>
  <c r="E6" i="1" s="1"/>
  <c r="E65" i="1"/>
  <c r="E28" i="1"/>
  <c r="E19" i="1" l="1"/>
  <c r="E45" i="1"/>
  <c r="E15" i="1"/>
  <c r="H17" i="1"/>
  <c r="H19" i="1" s="1"/>
  <c r="E21" i="1"/>
  <c r="E18" i="1"/>
  <c r="E17" i="1"/>
  <c r="E22" i="1"/>
  <c r="E52" i="1"/>
  <c r="H54" i="1"/>
  <c r="H56" i="1" s="1"/>
  <c r="E58" i="1"/>
  <c r="E55" i="1"/>
  <c r="E54" i="1"/>
  <c r="E59" i="1"/>
  <c r="F10" i="1"/>
  <c r="F44" i="1"/>
  <c r="H44" i="1" s="1"/>
  <c r="H7" i="1"/>
  <c r="F69" i="1"/>
  <c r="E67" i="1" s="1"/>
  <c r="E7" i="1"/>
  <c r="E10" i="1"/>
  <c r="F29" i="1"/>
  <c r="E26" i="1" s="1"/>
  <c r="H43" i="1"/>
  <c r="E69" i="1"/>
  <c r="E32" i="1"/>
  <c r="E70" i="1"/>
  <c r="E43" i="1"/>
  <c r="E44" i="1"/>
  <c r="E47" i="1"/>
  <c r="F6" i="1"/>
  <c r="E48" i="1"/>
  <c r="F33" i="1"/>
  <c r="E30" i="1" s="1"/>
  <c r="E8" i="1"/>
  <c r="E11" i="1"/>
  <c r="H45" i="1" l="1"/>
  <c r="E41" i="1"/>
  <c r="H65" i="1"/>
  <c r="H67" i="1" s="1"/>
  <c r="E4" i="1"/>
  <c r="H6" i="1"/>
  <c r="H8" i="1" s="1"/>
  <c r="H29" i="1"/>
  <c r="H30" i="1"/>
</calcChain>
</file>

<file path=xl/sharedStrings.xml><?xml version="1.0" encoding="utf-8"?>
<sst xmlns="http://schemas.openxmlformats.org/spreadsheetml/2006/main" count="154" uniqueCount="26">
  <si>
    <t>5-HETE</t>
  </si>
  <si>
    <t>5-HpETE</t>
  </si>
  <si>
    <t>C10</t>
  </si>
  <si>
    <t>LIGAND</t>
  </si>
  <si>
    <t>CARBON</t>
  </si>
  <si>
    <t>MD</t>
  </si>
  <si>
    <t>FRAME</t>
  </si>
  <si>
    <t>C13</t>
  </si>
  <si>
    <t>initial</t>
  </si>
  <si>
    <t>TS</t>
  </si>
  <si>
    <t>energies</t>
  </si>
  <si>
    <t>MM</t>
  </si>
  <si>
    <t>QM</t>
  </si>
  <si>
    <t>d (hartree)</t>
  </si>
  <si>
    <t>d (kcal/mol)</t>
  </si>
  <si>
    <t>Delta E\ddag</t>
  </si>
  <si>
    <t>kcal/mol/Hartree</t>
  </si>
  <si>
    <t>delta delta</t>
  </si>
  <si>
    <t>d d QM</t>
  </si>
  <si>
    <t>d d MM</t>
  </si>
  <si>
    <t>total</t>
  </si>
  <si>
    <t xml:space="preserve">No puc dir res sobre perquè el 13 té menor barrera </t>
  </si>
  <si>
    <t>5-HpETE ja que els frames són estructuralment diferents</t>
  </si>
  <si>
    <t>No s'ha fet servir el mateix frame per fer l'abstracció del H10, H13.</t>
  </si>
  <si>
    <t>Aquest approach és més realista, cada frame és precatalític per un o per l'altre, no pels dos</t>
  </si>
  <si>
    <t>Si s'hagués fet pel mateix frame: C13 i arrenquen C10 surtiria que C10 no pot (ja ho vaig comprovar amb barreres de 30 kcal/mol)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</si>
</sst>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551950</xdr:colOff>
      <xdr:row>2</xdr:row>
      <xdr:rowOff>97605</xdr:rowOff>
    </xdr:from>
    <xdr:to>
      <xdr:col>12</xdr:col>
      <xdr:colOff>159536</xdr:colOff>
      <xdr:row>11</xdr:row>
      <xdr:rowOff>119009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1FCC62-DFAF-1E11-8D92-3728B7300930}"/>
            </a:ext>
          </a:extLst>
        </xdr:cNvPr>
        <xdr:cNvSpPr txBox="1"/>
      </xdr:nvSpPr>
      <xdr:spPr>
        <a:xfrm>
          <a:off x="7155950" y="516705"/>
          <a:ext cx="2909586" cy="18629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la diferència de Delta E\ddag C10 vs C13 està atribuida bàsicament a canvis en la regió QM,</a:t>
          </a:r>
          <a:r>
            <a:rPr lang="en-US" sz="1100" baseline="0"/>
            <a:t> tot i que estem dins de l'error de la chemical accuracy i la precisió de FF/mètode/base usada.</a:t>
          </a:r>
        </a:p>
        <a:p>
          <a:endParaRPr lang="en-US" sz="1100" baseline="0"/>
        </a:p>
        <a:p>
          <a:r>
            <a:rPr lang="en-US" sz="1100" baseline="0"/>
            <a:t>Aquesta diferència és insignificant i està completament dins del marge d'error del càlcul QM/MM (del FF usat per descriure la regió MM i del mètode i base per la regió QM). </a:t>
          </a:r>
          <a:endParaRPr lang="en-US" sz="1100"/>
        </a:p>
      </xdr:txBody>
    </xdr:sp>
    <xdr:clientData/>
  </xdr:twoCellAnchor>
  <xdr:twoCellAnchor>
    <xdr:from>
      <xdr:col>9</xdr:col>
      <xdr:colOff>24609</xdr:colOff>
      <xdr:row>24</xdr:row>
      <xdr:rowOff>25756</xdr:rowOff>
    </xdr:from>
    <xdr:to>
      <xdr:col>12</xdr:col>
      <xdr:colOff>460923</xdr:colOff>
      <xdr:row>28</xdr:row>
      <xdr:rowOff>81986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32A772A-5830-5A48-BA14-04D6A2D785F6}"/>
            </a:ext>
          </a:extLst>
        </xdr:cNvPr>
        <xdr:cNvSpPr txBox="1"/>
      </xdr:nvSpPr>
      <xdr:spPr>
        <a:xfrm>
          <a:off x="7483168" y="4987366"/>
          <a:ext cx="2922501" cy="8741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diferència atribuida bàsicament a la regió MM (DL_POLY)</a:t>
          </a:r>
        </a:p>
      </xdr:txBody>
    </xdr:sp>
    <xdr:clientData/>
  </xdr:twoCellAnchor>
  <xdr:twoCellAnchor>
    <xdr:from>
      <xdr:col>8</xdr:col>
      <xdr:colOff>563508</xdr:colOff>
      <xdr:row>62</xdr:row>
      <xdr:rowOff>59362</xdr:rowOff>
    </xdr:from>
    <xdr:to>
      <xdr:col>12</xdr:col>
      <xdr:colOff>171094</xdr:colOff>
      <xdr:row>66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D0A85E9-8C05-D041-B916-2E535F7B1168}"/>
            </a:ext>
          </a:extLst>
        </xdr:cNvPr>
        <xdr:cNvSpPr txBox="1"/>
      </xdr:nvSpPr>
      <xdr:spPr>
        <a:xfrm>
          <a:off x="7167508" y="12746662"/>
          <a:ext cx="2909586" cy="88043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Diferència entre</a:t>
          </a:r>
          <a:r>
            <a:rPr lang="en-US" sz="1100" baseline="0"/>
            <a:t> les barreres atribuida a la regió QM</a:t>
          </a:r>
          <a:endParaRPr lang="en-US" sz="1100"/>
        </a:p>
      </xdr:txBody>
    </xdr:sp>
    <xdr:clientData/>
  </xdr:twoCellAnchor>
  <xdr:twoCellAnchor>
    <xdr:from>
      <xdr:col>8</xdr:col>
      <xdr:colOff>651552</xdr:colOff>
      <xdr:row>50</xdr:row>
      <xdr:rowOff>39669</xdr:rowOff>
    </xdr:from>
    <xdr:to>
      <xdr:col>12</xdr:col>
      <xdr:colOff>259138</xdr:colOff>
      <xdr:row>54</xdr:row>
      <xdr:rowOff>103883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06D9927-A7C5-1E4B-8587-9CB1DD19A7B9}"/>
            </a:ext>
          </a:extLst>
        </xdr:cNvPr>
        <xdr:cNvSpPr txBox="1"/>
      </xdr:nvSpPr>
      <xdr:spPr>
        <a:xfrm>
          <a:off x="7255552" y="10288569"/>
          <a:ext cx="2909586" cy="8770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Diferència entre barreres atribuida</a:t>
          </a:r>
          <a:r>
            <a:rPr lang="en-US" sz="1100" baseline="0"/>
            <a:t> a both MM i QM</a:t>
          </a:r>
          <a:endParaRPr lang="en-US" sz="1100"/>
        </a:p>
      </xdr:txBody>
    </xdr:sp>
    <xdr:clientData/>
  </xdr:twoCellAnchor>
  <xdr:twoCellAnchor>
    <xdr:from>
      <xdr:col>8</xdr:col>
      <xdr:colOff>763908</xdr:colOff>
      <xdr:row>39</xdr:row>
      <xdr:rowOff>31810</xdr:rowOff>
    </xdr:from>
    <xdr:to>
      <xdr:col>12</xdr:col>
      <xdr:colOff>368266</xdr:colOff>
      <xdr:row>43</xdr:row>
      <xdr:rowOff>98801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3C85016-5EAB-6C4F-ADBB-21421E4299A5}"/>
            </a:ext>
          </a:extLst>
        </xdr:cNvPr>
        <xdr:cNvSpPr txBox="1"/>
      </xdr:nvSpPr>
      <xdr:spPr>
        <a:xfrm>
          <a:off x="7393739" y="8082318"/>
          <a:ext cx="2919273" cy="88495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Diferència entre</a:t>
          </a:r>
          <a:r>
            <a:rPr lang="en-US" sz="1100" baseline="0"/>
            <a:t> les barreres atribuida a la regió QM, tot i que MM també contribueix, però menys </a:t>
          </a:r>
          <a:endParaRPr lang="en-US" sz="1100"/>
        </a:p>
      </xdr:txBody>
    </xdr:sp>
    <xdr:clientData/>
  </xdr:twoCellAnchor>
  <xdr:twoCellAnchor>
    <xdr:from>
      <xdr:col>8</xdr:col>
      <xdr:colOff>618280</xdr:colOff>
      <xdr:row>14</xdr:row>
      <xdr:rowOff>49003</xdr:rowOff>
    </xdr:from>
    <xdr:to>
      <xdr:col>12</xdr:col>
      <xdr:colOff>225866</xdr:colOff>
      <xdr:row>18</xdr:row>
      <xdr:rowOff>105232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D4A90FC-7D45-CF45-A5A6-306724C3E395}"/>
            </a:ext>
          </a:extLst>
        </xdr:cNvPr>
        <xdr:cNvSpPr txBox="1"/>
      </xdr:nvSpPr>
      <xdr:spPr>
        <a:xfrm>
          <a:off x="7248111" y="2944172"/>
          <a:ext cx="2922501" cy="8741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diferència atribuida bàsicament a la regió MM (DL_POLY)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645EE-7E68-3E46-BC01-CD0722157439}">
  <dimension ref="B2:K70"/>
  <sheetViews>
    <sheetView tabSelected="1" topLeftCell="D43" zoomScale="159" workbookViewId="0">
      <selection activeCell="J59" sqref="J59"/>
    </sheetView>
  </sheetViews>
  <sheetFormatPr baseColWidth="10" defaultRowHeight="16" x14ac:dyDescent="0.2"/>
  <sheetData>
    <row r="2" spans="2:9" ht="17" thickBot="1" x14ac:dyDescent="0.25">
      <c r="B2" s="1" t="s">
        <v>3</v>
      </c>
      <c r="C2" s="1" t="s">
        <v>0</v>
      </c>
      <c r="D2" s="1"/>
      <c r="H2" s="2">
        <f>627.5096080306</f>
        <v>627.50960803060002</v>
      </c>
      <c r="I2" t="s">
        <v>16</v>
      </c>
    </row>
    <row r="3" spans="2:9" x14ac:dyDescent="0.2">
      <c r="B3" s="3" t="s">
        <v>4</v>
      </c>
      <c r="C3" s="4" t="s">
        <v>5</v>
      </c>
      <c r="D3" s="4" t="s">
        <v>6</v>
      </c>
      <c r="E3" s="4" t="s">
        <v>15</v>
      </c>
      <c r="F3" s="4"/>
      <c r="G3" s="4"/>
      <c r="H3" s="5"/>
    </row>
    <row r="4" spans="2:9" x14ac:dyDescent="0.2">
      <c r="B4" s="6" t="s">
        <v>2</v>
      </c>
      <c r="C4" s="1">
        <v>185</v>
      </c>
      <c r="D4" s="1">
        <v>19118</v>
      </c>
      <c r="E4" s="1">
        <f>F6+F7</f>
        <v>14.246978140827657</v>
      </c>
      <c r="H4" s="7"/>
    </row>
    <row r="5" spans="2:9" x14ac:dyDescent="0.2">
      <c r="B5" s="8" t="s">
        <v>10</v>
      </c>
      <c r="C5" t="s">
        <v>8</v>
      </c>
      <c r="D5" t="s">
        <v>9</v>
      </c>
      <c r="E5" t="s">
        <v>13</v>
      </c>
      <c r="F5" t="s">
        <v>14</v>
      </c>
      <c r="H5" s="7" t="s">
        <v>17</v>
      </c>
    </row>
    <row r="6" spans="2:9" x14ac:dyDescent="0.2">
      <c r="B6" s="6" t="s">
        <v>12</v>
      </c>
      <c r="C6" s="9">
        <f>-1878.25169</f>
        <v>-1878.2516900000001</v>
      </c>
      <c r="D6" s="9">
        <f>-1878.22969</f>
        <v>-1878.2296899999999</v>
      </c>
      <c r="E6">
        <f>D6-C6</f>
        <v>2.200000000016189E-2</v>
      </c>
      <c r="F6">
        <f>(D6-C6)*$H$2</f>
        <v>13.805211376774787</v>
      </c>
      <c r="G6" s="10" t="s">
        <v>18</v>
      </c>
      <c r="H6" s="7">
        <f>F6-F10</f>
        <v>1.6139547120602344</v>
      </c>
    </row>
    <row r="7" spans="2:9" x14ac:dyDescent="0.2">
      <c r="B7" s="6" t="s">
        <v>11</v>
      </c>
      <c r="C7" s="9">
        <f>-20.268959</f>
        <v>-20.268958999999999</v>
      </c>
      <c r="D7" s="9">
        <f>-20.268255</f>
        <v>-20.268255</v>
      </c>
      <c r="E7">
        <f>D7-C7</f>
        <v>7.0399999999892771E-4</v>
      </c>
      <c r="F7">
        <f>(D7-C7)*$H$2</f>
        <v>0.44176676405286952</v>
      </c>
      <c r="G7" s="10" t="s">
        <v>19</v>
      </c>
      <c r="H7" s="7">
        <f>F7-F11</f>
        <v>1.0046428824575251</v>
      </c>
    </row>
    <row r="8" spans="2:9" x14ac:dyDescent="0.2">
      <c r="B8" s="6" t="s">
        <v>7</v>
      </c>
      <c r="C8" s="1">
        <v>185</v>
      </c>
      <c r="D8" s="1">
        <v>19800</v>
      </c>
      <c r="E8" s="1">
        <f>F10+F11</f>
        <v>11.628380546309897</v>
      </c>
      <c r="G8" s="10" t="s">
        <v>20</v>
      </c>
      <c r="H8" s="7">
        <f>H6+H7</f>
        <v>2.6185975945177598</v>
      </c>
    </row>
    <row r="9" spans="2:9" x14ac:dyDescent="0.2">
      <c r="B9" s="8" t="s">
        <v>10</v>
      </c>
      <c r="C9" t="s">
        <v>8</v>
      </c>
      <c r="D9" t="s">
        <v>9</v>
      </c>
      <c r="E9" t="s">
        <v>13</v>
      </c>
      <c r="F9" t="s">
        <v>14</v>
      </c>
      <c r="H9" s="7"/>
    </row>
    <row r="10" spans="2:9" x14ac:dyDescent="0.2">
      <c r="B10" s="6" t="s">
        <v>12</v>
      </c>
      <c r="C10">
        <f>-1878.240478</f>
        <v>-1878.2404779999999</v>
      </c>
      <c r="D10">
        <f>-1878.22105</f>
        <v>-1878.2210500000001</v>
      </c>
      <c r="E10">
        <f>D10-C10</f>
        <v>1.9427999999834356E-2</v>
      </c>
      <c r="F10">
        <f>(D10-C10)*$H$2</f>
        <v>12.191256664714553</v>
      </c>
      <c r="H10" s="7"/>
    </row>
    <row r="11" spans="2:9" ht="17" thickBot="1" x14ac:dyDescent="0.25">
      <c r="B11" s="11" t="s">
        <v>11</v>
      </c>
      <c r="C11" s="12">
        <f>-17.786623</f>
        <v>-17.786622999999999</v>
      </c>
      <c r="D11" s="12">
        <f>-17.78752</f>
        <v>-17.787520000000001</v>
      </c>
      <c r="E11" s="12">
        <f>D11-C11</f>
        <v>-8.9700000000192404E-4</v>
      </c>
      <c r="F11" s="12">
        <f>(D11-C11)*$H$2</f>
        <v>-0.56287611840465557</v>
      </c>
      <c r="G11" s="12"/>
      <c r="H11" s="13"/>
    </row>
    <row r="13" spans="2:9" ht="17" thickBot="1" x14ac:dyDescent="0.25"/>
    <row r="14" spans="2:9" x14ac:dyDescent="0.2">
      <c r="B14" s="3" t="s">
        <v>4</v>
      </c>
      <c r="C14" s="4" t="s">
        <v>5</v>
      </c>
      <c r="D14" s="4" t="s">
        <v>6</v>
      </c>
      <c r="E14" s="4" t="s">
        <v>15</v>
      </c>
      <c r="F14" s="4"/>
      <c r="G14" s="4"/>
      <c r="H14" s="5"/>
    </row>
    <row r="15" spans="2:9" x14ac:dyDescent="0.2">
      <c r="B15" s="6" t="s">
        <v>2</v>
      </c>
      <c r="C15" s="1">
        <v>284</v>
      </c>
      <c r="D15" s="1">
        <v>10923</v>
      </c>
      <c r="E15" s="1">
        <f>F17+F18</f>
        <v>19.87385679582971</v>
      </c>
      <c r="H15" s="7"/>
    </row>
    <row r="16" spans="2:9" x14ac:dyDescent="0.2">
      <c r="B16" s="8" t="s">
        <v>10</v>
      </c>
      <c r="C16" t="s">
        <v>8</v>
      </c>
      <c r="D16" t="s">
        <v>9</v>
      </c>
      <c r="E16" t="s">
        <v>13</v>
      </c>
      <c r="F16" t="s">
        <v>14</v>
      </c>
      <c r="H16" s="7" t="s">
        <v>17</v>
      </c>
    </row>
    <row r="17" spans="2:8" x14ac:dyDescent="0.2">
      <c r="B17" s="6" t="s">
        <v>12</v>
      </c>
      <c r="C17" s="9">
        <v>-1878.2340429999999</v>
      </c>
      <c r="D17" s="9">
        <v>-1878.2092540000001</v>
      </c>
      <c r="E17">
        <f>D17-C17</f>
        <v>2.4788999999827865E-2</v>
      </c>
      <c r="F17">
        <f>(D17-C17)*$H$2</f>
        <v>15.555335673362528</v>
      </c>
      <c r="G17" s="10" t="s">
        <v>18</v>
      </c>
      <c r="H17" s="7">
        <f>F17-F21</f>
        <v>4.5783101001891477</v>
      </c>
    </row>
    <row r="18" spans="2:8" x14ac:dyDescent="0.2">
      <c r="B18" s="6" t="s">
        <v>11</v>
      </c>
      <c r="C18" s="9">
        <v>-18.175104000000001</v>
      </c>
      <c r="D18" s="9">
        <v>-18.168222</v>
      </c>
      <c r="E18">
        <f>D18-C18</f>
        <v>6.8820000000009429E-3</v>
      </c>
      <c r="F18">
        <f>(D18-C18)*$H$2</f>
        <v>4.3185211224671809</v>
      </c>
      <c r="G18" s="10" t="s">
        <v>19</v>
      </c>
      <c r="H18" s="7">
        <f>F18-F22</f>
        <v>2.2766048579366664</v>
      </c>
    </row>
    <row r="19" spans="2:8" x14ac:dyDescent="0.2">
      <c r="B19" s="6" t="s">
        <v>7</v>
      </c>
      <c r="C19" s="1">
        <v>284</v>
      </c>
      <c r="D19" s="1">
        <v>14571</v>
      </c>
      <c r="E19" s="1">
        <f>F21+F22</f>
        <v>13.018941837703895</v>
      </c>
      <c r="G19" s="10" t="s">
        <v>20</v>
      </c>
      <c r="H19" s="7">
        <f>H17+H18</f>
        <v>6.8549149581258142</v>
      </c>
    </row>
    <row r="20" spans="2:8" x14ac:dyDescent="0.2">
      <c r="B20" s="8" t="s">
        <v>10</v>
      </c>
      <c r="C20" t="s">
        <v>8</v>
      </c>
      <c r="D20" t="s">
        <v>9</v>
      </c>
      <c r="E20" t="s">
        <v>13</v>
      </c>
      <c r="F20" t="s">
        <v>14</v>
      </c>
      <c r="H20" s="7"/>
    </row>
    <row r="21" spans="2:8" x14ac:dyDescent="0.2">
      <c r="B21" s="6" t="s">
        <v>12</v>
      </c>
      <c r="C21">
        <v>-1878.2394469999999</v>
      </c>
      <c r="D21">
        <v>-1878.2219540000001</v>
      </c>
      <c r="E21">
        <f>D21-C21</f>
        <v>1.7492999999831227E-2</v>
      </c>
      <c r="F21">
        <f>(D21-C21)*$H$2</f>
        <v>10.97702557317338</v>
      </c>
      <c r="H21" s="7"/>
    </row>
    <row r="22" spans="2:8" ht="17" thickBot="1" x14ac:dyDescent="0.25">
      <c r="B22" s="11" t="s">
        <v>11</v>
      </c>
      <c r="C22" s="12">
        <v>-18.041067999999999</v>
      </c>
      <c r="D22" s="12">
        <v>-18.037814000000001</v>
      </c>
      <c r="E22" s="12">
        <f>D22-C22</f>
        <v>3.2539999999983138E-3</v>
      </c>
      <c r="F22" s="12">
        <f>(D22-C22)*$H$2</f>
        <v>2.0419162645305144</v>
      </c>
      <c r="G22" s="12"/>
      <c r="H22" s="13"/>
    </row>
    <row r="24" spans="2:8" ht="17" thickBot="1" x14ac:dyDescent="0.25"/>
    <row r="25" spans="2:8" x14ac:dyDescent="0.2">
      <c r="B25" s="3" t="s">
        <v>4</v>
      </c>
      <c r="C25" s="4" t="s">
        <v>5</v>
      </c>
      <c r="D25" s="4" t="s">
        <v>6</v>
      </c>
      <c r="E25" s="4" t="s">
        <v>15</v>
      </c>
      <c r="F25" s="4"/>
      <c r="G25" s="4"/>
      <c r="H25" s="5"/>
    </row>
    <row r="26" spans="2:8" x14ac:dyDescent="0.2">
      <c r="B26" s="6" t="s">
        <v>2</v>
      </c>
      <c r="C26" s="1">
        <v>343</v>
      </c>
      <c r="D26" s="1">
        <v>6228</v>
      </c>
      <c r="E26" s="1">
        <f>F28+F29</f>
        <v>17.397076373075521</v>
      </c>
      <c r="H26" s="7"/>
    </row>
    <row r="27" spans="2:8" x14ac:dyDescent="0.2">
      <c r="B27" s="8" t="s">
        <v>10</v>
      </c>
      <c r="C27" t="s">
        <v>8</v>
      </c>
      <c r="D27" t="s">
        <v>9</v>
      </c>
      <c r="E27" t="s">
        <v>13</v>
      </c>
      <c r="F27" t="s">
        <v>14</v>
      </c>
      <c r="H27" s="7" t="s">
        <v>17</v>
      </c>
    </row>
    <row r="28" spans="2:8" x14ac:dyDescent="0.2">
      <c r="B28" s="6" t="s">
        <v>12</v>
      </c>
      <c r="C28">
        <f>-1878.24965</f>
        <v>-1878.24965</v>
      </c>
      <c r="D28">
        <f>-1878.224321</f>
        <v>-1878.2243209999999</v>
      </c>
      <c r="E28">
        <f>D28-C28</f>
        <v>2.5329000000056112E-2</v>
      </c>
      <c r="F28">
        <f>(D28-C28)*$H$2</f>
        <v>15.894190861842279</v>
      </c>
      <c r="G28" s="10" t="s">
        <v>18</v>
      </c>
      <c r="H28" s="7">
        <f>F28-F32</f>
        <v>1.3742460416843567</v>
      </c>
    </row>
    <row r="29" spans="2:8" x14ac:dyDescent="0.2">
      <c r="B29" s="6" t="s">
        <v>11</v>
      </c>
      <c r="C29">
        <f>-18.787105</f>
        <v>-18.787105</v>
      </c>
      <c r="D29">
        <f>-18.78471</f>
        <v>-18.78471</v>
      </c>
      <c r="E29">
        <f>D29-C29</f>
        <v>2.394999999999925E-3</v>
      </c>
      <c r="F29">
        <f>(D29-C29)*$H$2</f>
        <v>1.50288551123324</v>
      </c>
      <c r="G29" s="10" t="s">
        <v>19</v>
      </c>
      <c r="H29" s="7">
        <f>F29-F33</f>
        <v>-4.2338073253829132</v>
      </c>
    </row>
    <row r="30" spans="2:8" x14ac:dyDescent="0.2">
      <c r="B30" s="6" t="s">
        <v>7</v>
      </c>
      <c r="C30" s="1">
        <v>343</v>
      </c>
      <c r="D30" s="1">
        <v>23559</v>
      </c>
      <c r="E30" s="1">
        <f>F32+F33</f>
        <v>20.256637656774075</v>
      </c>
      <c r="G30" s="10" t="s">
        <v>20</v>
      </c>
      <c r="H30" s="7">
        <f>H28+H29</f>
        <v>-2.8595612836985564</v>
      </c>
    </row>
    <row r="31" spans="2:8" x14ac:dyDescent="0.2">
      <c r="B31" s="8" t="s">
        <v>10</v>
      </c>
      <c r="C31" t="s">
        <v>8</v>
      </c>
      <c r="D31" t="s">
        <v>9</v>
      </c>
      <c r="E31" t="s">
        <v>13</v>
      </c>
      <c r="F31" t="s">
        <v>14</v>
      </c>
      <c r="H31" s="7"/>
    </row>
    <row r="32" spans="2:8" x14ac:dyDescent="0.2">
      <c r="B32" s="6" t="s">
        <v>12</v>
      </c>
      <c r="C32">
        <f>-1878.263303</f>
        <v>-1878.263303</v>
      </c>
      <c r="D32">
        <f>-1878.240164</f>
        <v>-1878.240164</v>
      </c>
      <c r="E32">
        <f>D32-C32</f>
        <v>2.3138999999900989E-2</v>
      </c>
      <c r="F32">
        <f>(D32-C32)*$H$2</f>
        <v>14.519944820157923</v>
      </c>
      <c r="H32" s="7"/>
    </row>
    <row r="33" spans="2:8" ht="17" thickBot="1" x14ac:dyDescent="0.25">
      <c r="B33" s="11" t="s">
        <v>11</v>
      </c>
      <c r="C33" s="12">
        <f>-16.776596</f>
        <v>-16.776596000000001</v>
      </c>
      <c r="D33" s="12">
        <f>-16.767454</f>
        <v>-16.767454000000001</v>
      </c>
      <c r="E33" s="12">
        <f>D33-C33</f>
        <v>9.1420000000006496E-3</v>
      </c>
      <c r="F33" s="12">
        <f>(D33-C33)*$H$2</f>
        <v>5.7366928366161529</v>
      </c>
      <c r="G33" s="12"/>
      <c r="H33" s="13"/>
    </row>
    <row r="39" spans="2:8" ht="17" thickBot="1" x14ac:dyDescent="0.25">
      <c r="B39" s="1" t="s">
        <v>3</v>
      </c>
      <c r="C39" s="1" t="s">
        <v>1</v>
      </c>
      <c r="D39" s="1"/>
    </row>
    <row r="40" spans="2:8" x14ac:dyDescent="0.2">
      <c r="B40" s="3" t="s">
        <v>4</v>
      </c>
      <c r="C40" s="4" t="s">
        <v>5</v>
      </c>
      <c r="D40" s="4" t="s">
        <v>6</v>
      </c>
      <c r="E40" s="4" t="s">
        <v>15</v>
      </c>
      <c r="F40" s="4"/>
      <c r="G40" s="4"/>
      <c r="H40" s="5"/>
    </row>
    <row r="41" spans="2:8" x14ac:dyDescent="0.2">
      <c r="B41" s="6" t="s">
        <v>2</v>
      </c>
      <c r="C41" s="1">
        <v>19</v>
      </c>
      <c r="D41" s="1">
        <v>6831</v>
      </c>
      <c r="E41" s="1">
        <f>F43+F44</f>
        <v>41.03661832682026</v>
      </c>
      <c r="H41" s="7"/>
    </row>
    <row r="42" spans="2:8" x14ac:dyDescent="0.2">
      <c r="B42" s="8" t="s">
        <v>10</v>
      </c>
      <c r="C42" t="s">
        <v>8</v>
      </c>
      <c r="D42" t="s">
        <v>9</v>
      </c>
      <c r="E42" t="s">
        <v>13</v>
      </c>
      <c r="F42" t="s">
        <v>14</v>
      </c>
      <c r="H42" s="7" t="s">
        <v>17</v>
      </c>
    </row>
    <row r="43" spans="2:8" x14ac:dyDescent="0.2">
      <c r="B43" s="6" t="s">
        <v>12</v>
      </c>
      <c r="C43">
        <v>-1878.2435620000001</v>
      </c>
      <c r="D43">
        <v>-1878.18974</v>
      </c>
      <c r="E43">
        <f>D43-C43</f>
        <v>5.3822000000081971E-2</v>
      </c>
      <c r="F43">
        <f>(D43-C43)*$H$2</f>
        <v>33.773822123474389</v>
      </c>
      <c r="G43" s="10" t="s">
        <v>18</v>
      </c>
      <c r="H43" s="7">
        <f>F43-F47</f>
        <v>20.888539832175411</v>
      </c>
    </row>
    <row r="44" spans="2:8" x14ac:dyDescent="0.2">
      <c r="B44" s="6" t="s">
        <v>11</v>
      </c>
      <c r="C44">
        <v>-17.605112999999999</v>
      </c>
      <c r="D44">
        <v>-17.593539</v>
      </c>
      <c r="E44">
        <f>D44-C44</f>
        <v>1.1573999999999529E-2</v>
      </c>
      <c r="F44">
        <f>(D44-C44)*$H$2</f>
        <v>7.2627962033458688</v>
      </c>
      <c r="G44" s="10" t="s">
        <v>19</v>
      </c>
      <c r="H44" s="7">
        <f>F44-F48</f>
        <v>8.985310077388192</v>
      </c>
    </row>
    <row r="45" spans="2:8" x14ac:dyDescent="0.2">
      <c r="B45" s="6" t="s">
        <v>7</v>
      </c>
      <c r="C45" s="1">
        <v>19</v>
      </c>
      <c r="D45" s="1">
        <v>5273</v>
      </c>
      <c r="E45" s="1">
        <f>F47+F48</f>
        <v>11.162768417256656</v>
      </c>
      <c r="G45" s="10" t="s">
        <v>20</v>
      </c>
      <c r="H45" s="7">
        <f>H43+H44</f>
        <v>29.873849909563603</v>
      </c>
    </row>
    <row r="46" spans="2:8" x14ac:dyDescent="0.2">
      <c r="B46" s="8" t="s">
        <v>10</v>
      </c>
      <c r="C46" t="s">
        <v>8</v>
      </c>
      <c r="D46" t="s">
        <v>9</v>
      </c>
      <c r="E46" t="s">
        <v>13</v>
      </c>
      <c r="F46" t="s">
        <v>14</v>
      </c>
      <c r="H46" s="7"/>
    </row>
    <row r="47" spans="2:8" x14ac:dyDescent="0.2">
      <c r="B47" s="6" t="s">
        <v>12</v>
      </c>
      <c r="C47">
        <v>-1878.2398009999999</v>
      </c>
      <c r="D47">
        <v>-1878.2192669999999</v>
      </c>
      <c r="E47">
        <f>D47-C47</f>
        <v>2.0533999999997832E-2</v>
      </c>
      <c r="F47">
        <f>(D47-C47)*$H$2</f>
        <v>12.88528229129898</v>
      </c>
      <c r="H47" s="7"/>
    </row>
    <row r="48" spans="2:8" ht="17" thickBot="1" x14ac:dyDescent="0.25">
      <c r="B48" s="11" t="s">
        <v>11</v>
      </c>
      <c r="C48" s="12">
        <v>-17.213664000000001</v>
      </c>
      <c r="D48" s="12">
        <v>-17.216408999999999</v>
      </c>
      <c r="E48" s="12">
        <f>D48-C48</f>
        <v>-2.7449999999973329E-3</v>
      </c>
      <c r="F48" s="12">
        <f>(D48-C48)*$H$2</f>
        <v>-1.7225138740423234</v>
      </c>
      <c r="G48" s="12"/>
      <c r="H48" s="13"/>
    </row>
    <row r="50" spans="2:11" ht="17" thickBot="1" x14ac:dyDescent="0.25"/>
    <row r="51" spans="2:11" x14ac:dyDescent="0.2">
      <c r="B51" s="3" t="s">
        <v>4</v>
      </c>
      <c r="C51" s="4" t="s">
        <v>5</v>
      </c>
      <c r="D51" s="4" t="s">
        <v>6</v>
      </c>
      <c r="E51" s="4" t="s">
        <v>15</v>
      </c>
      <c r="F51" s="4"/>
      <c r="G51" s="4"/>
      <c r="H51" s="5"/>
    </row>
    <row r="52" spans="2:11" x14ac:dyDescent="0.2">
      <c r="B52" s="6" t="s">
        <v>2</v>
      </c>
      <c r="C52" s="1">
        <v>41</v>
      </c>
      <c r="D52" s="1">
        <v>21843</v>
      </c>
      <c r="E52" s="1">
        <f>F54+F55</f>
        <v>19.716351884375378</v>
      </c>
      <c r="H52" s="7"/>
    </row>
    <row r="53" spans="2:11" x14ac:dyDescent="0.2">
      <c r="B53" s="8" t="s">
        <v>10</v>
      </c>
      <c r="C53" t="s">
        <v>8</v>
      </c>
      <c r="D53" t="s">
        <v>9</v>
      </c>
      <c r="E53" t="s">
        <v>13</v>
      </c>
      <c r="F53" t="s">
        <v>14</v>
      </c>
      <c r="H53" s="7" t="s">
        <v>17</v>
      </c>
    </row>
    <row r="54" spans="2:11" x14ac:dyDescent="0.2">
      <c r="B54" s="6" t="s">
        <v>12</v>
      </c>
      <c r="C54">
        <f>-1878.24681</f>
        <v>-1878.2468100000001</v>
      </c>
      <c r="D54">
        <f>-1878.221718</f>
        <v>-1878.221718</v>
      </c>
      <c r="E54">
        <f>D54-C54</f>
        <v>2.5092000000086045E-2</v>
      </c>
      <c r="F54">
        <f>(D54-C54)*$H$2</f>
        <v>15.74547108475781</v>
      </c>
      <c r="G54" s="10" t="s">
        <v>18</v>
      </c>
      <c r="H54" s="7">
        <f>F54-F58</f>
        <v>1.5894818371948105</v>
      </c>
    </row>
    <row r="55" spans="2:11" x14ac:dyDescent="0.2">
      <c r="B55" s="6" t="s">
        <v>11</v>
      </c>
      <c r="C55">
        <f>-19.332642</f>
        <v>-19.332642</v>
      </c>
      <c r="D55">
        <f>-19.326314</f>
        <v>-19.326314</v>
      </c>
      <c r="E55">
        <f>D55-C55</f>
        <v>6.3279999999998893E-3</v>
      </c>
      <c r="F55">
        <f>(D55-C55)*$H$2</f>
        <v>3.9708807996175675</v>
      </c>
      <c r="G55" s="10" t="s">
        <v>19</v>
      </c>
      <c r="H55" s="7">
        <f>F55-F59</f>
        <v>3.4017295851350728</v>
      </c>
    </row>
    <row r="56" spans="2:11" x14ac:dyDescent="0.2">
      <c r="B56" s="6" t="s">
        <v>7</v>
      </c>
      <c r="C56" s="1">
        <v>41</v>
      </c>
      <c r="D56" s="1">
        <v>8948</v>
      </c>
      <c r="E56" s="1">
        <f>F58+F59</f>
        <v>14.725140462045495</v>
      </c>
      <c r="G56" s="10" t="s">
        <v>20</v>
      </c>
      <c r="H56" s="7">
        <f>H54+H55</f>
        <v>4.9912114223298829</v>
      </c>
    </row>
    <row r="57" spans="2:11" x14ac:dyDescent="0.2">
      <c r="B57" s="8" t="s">
        <v>10</v>
      </c>
      <c r="C57" t="s">
        <v>8</v>
      </c>
      <c r="D57" t="s">
        <v>9</v>
      </c>
      <c r="E57" t="s">
        <v>13</v>
      </c>
      <c r="F57" t="s">
        <v>14</v>
      </c>
      <c r="H57" s="7"/>
      <c r="K57" t="s">
        <v>21</v>
      </c>
    </row>
    <row r="58" spans="2:11" x14ac:dyDescent="0.2">
      <c r="B58" s="6" t="s">
        <v>12</v>
      </c>
      <c r="C58">
        <f>-1878.239337</f>
        <v>-1878.239337</v>
      </c>
      <c r="D58">
        <f>-1878.216778</f>
        <v>-1878.216778</v>
      </c>
      <c r="E58">
        <f>D58-C58</f>
        <v>2.2559000000001106E-2</v>
      </c>
      <c r="F58">
        <f>(D58-C58)*$H$2</f>
        <v>14.155989247562999</v>
      </c>
      <c r="H58" s="7"/>
      <c r="K58" t="s">
        <v>22</v>
      </c>
    </row>
    <row r="59" spans="2:11" ht="17" thickBot="1" x14ac:dyDescent="0.25">
      <c r="B59" s="11" t="s">
        <v>11</v>
      </c>
      <c r="C59" s="12">
        <f>-17.639971</f>
        <v>-17.639970999999999</v>
      </c>
      <c r="D59" s="12">
        <f>-17.639064</f>
        <v>-17.639064000000001</v>
      </c>
      <c r="E59" s="12">
        <f>D59-C59</f>
        <v>9.0699999999799275E-4</v>
      </c>
      <c r="F59" s="12">
        <f>(D59-C59)*$H$2</f>
        <v>0.56915121448249462</v>
      </c>
      <c r="G59" s="12"/>
      <c r="H59" s="13"/>
      <c r="K59" t="s">
        <v>23</v>
      </c>
    </row>
    <row r="60" spans="2:11" x14ac:dyDescent="0.2">
      <c r="K60" t="s">
        <v>24</v>
      </c>
    </row>
    <row r="61" spans="2:11" ht="17" thickBot="1" x14ac:dyDescent="0.25">
      <c r="K61" t="s">
        <v>25</v>
      </c>
    </row>
    <row r="62" spans="2:11" x14ac:dyDescent="0.2">
      <c r="B62" s="3" t="s">
        <v>4</v>
      </c>
      <c r="C62" s="4" t="s">
        <v>5</v>
      </c>
      <c r="D62" s="4" t="s">
        <v>6</v>
      </c>
      <c r="E62" s="4" t="s">
        <v>15</v>
      </c>
      <c r="F62" s="4"/>
      <c r="G62" s="4"/>
      <c r="H62" s="5"/>
    </row>
    <row r="63" spans="2:11" x14ac:dyDescent="0.2">
      <c r="B63" s="6" t="s">
        <v>2</v>
      </c>
      <c r="C63" s="1">
        <v>369</v>
      </c>
      <c r="D63" s="1">
        <v>17305</v>
      </c>
      <c r="E63" s="1">
        <f>F65+F66</f>
        <v>19.434600070298487</v>
      </c>
      <c r="H63" s="7"/>
    </row>
    <row r="64" spans="2:11" x14ac:dyDescent="0.2">
      <c r="B64" s="8" t="s">
        <v>10</v>
      </c>
      <c r="C64" t="s">
        <v>8</v>
      </c>
      <c r="D64" t="s">
        <v>9</v>
      </c>
      <c r="E64" t="s">
        <v>13</v>
      </c>
      <c r="F64" t="s">
        <v>14</v>
      </c>
      <c r="H64" s="7" t="s">
        <v>17</v>
      </c>
    </row>
    <row r="65" spans="2:8" x14ac:dyDescent="0.2">
      <c r="B65" s="6" t="s">
        <v>12</v>
      </c>
      <c r="C65">
        <f>-1878.235565</f>
        <v>-1878.235565</v>
      </c>
      <c r="D65">
        <f>-1878.202503</f>
        <v>-1878.202503</v>
      </c>
      <c r="E65">
        <f>D65-C65</f>
        <v>3.3061999999972613E-2</v>
      </c>
      <c r="F65">
        <f>(D65-C65)*$H$2</f>
        <v>20.746722660690512</v>
      </c>
      <c r="G65" s="10" t="s">
        <v>18</v>
      </c>
      <c r="H65" s="7">
        <f>F65-F69</f>
        <v>6.319649262571998</v>
      </c>
    </row>
    <row r="66" spans="2:8" x14ac:dyDescent="0.2">
      <c r="B66" s="6" t="s">
        <v>11</v>
      </c>
      <c r="C66">
        <f>-17.422718</f>
        <v>-17.422718</v>
      </c>
      <c r="D66">
        <f>-17.424809</f>
        <v>-17.424809</v>
      </c>
      <c r="E66">
        <f>D66-C66</f>
        <v>-2.091000000000065E-3</v>
      </c>
      <c r="F66">
        <f>(D66-C66)*$H$2</f>
        <v>-1.3121225903920255</v>
      </c>
      <c r="G66" s="10" t="s">
        <v>19</v>
      </c>
      <c r="H66" s="7">
        <f>F66-F70</f>
        <v>-1.5719115681184515</v>
      </c>
    </row>
    <row r="67" spans="2:8" x14ac:dyDescent="0.2">
      <c r="B67" s="6" t="s">
        <v>7</v>
      </c>
      <c r="C67" s="1">
        <v>369</v>
      </c>
      <c r="D67" s="1">
        <v>19212</v>
      </c>
      <c r="E67" s="1">
        <f>F69+F70</f>
        <v>14.686862375844941</v>
      </c>
      <c r="G67" s="10" t="s">
        <v>20</v>
      </c>
      <c r="H67" s="7">
        <f>H65+H66</f>
        <v>4.7477376944535461</v>
      </c>
    </row>
    <row r="68" spans="2:8" x14ac:dyDescent="0.2">
      <c r="B68" s="8" t="s">
        <v>10</v>
      </c>
      <c r="C68" t="s">
        <v>8</v>
      </c>
      <c r="D68" t="s">
        <v>9</v>
      </c>
      <c r="E68" t="s">
        <v>13</v>
      </c>
      <c r="F68" t="s">
        <v>14</v>
      </c>
      <c r="H68" s="7"/>
    </row>
    <row r="69" spans="2:8" x14ac:dyDescent="0.2">
      <c r="B69" s="6" t="s">
        <v>12</v>
      </c>
      <c r="C69">
        <f>-1878.232337</f>
        <v>-1878.2323369999999</v>
      </c>
      <c r="D69">
        <f>-1878.209346</f>
        <v>-1878.2093460000001</v>
      </c>
      <c r="E69">
        <f>D69-C69</f>
        <v>2.2990999999819905E-2</v>
      </c>
      <c r="F69">
        <f>(D69-C69)*$H$2</f>
        <v>14.427073398118514</v>
      </c>
      <c r="H69" s="7"/>
    </row>
    <row r="70" spans="2:8" ht="17" thickBot="1" x14ac:dyDescent="0.25">
      <c r="B70" s="11" t="s">
        <v>11</v>
      </c>
      <c r="C70" s="12">
        <f>-17.10103</f>
        <v>-17.101030000000002</v>
      </c>
      <c r="D70" s="12">
        <f>-17.100616</f>
        <v>-17.100615999999999</v>
      </c>
      <c r="E70" s="12">
        <f>D70-C70</f>
        <v>4.1400000000280102E-4</v>
      </c>
      <c r="F70" s="12">
        <f>(D70-C70)*$H$2</f>
        <v>0.25978897772642606</v>
      </c>
      <c r="G70" s="12"/>
      <c r="H7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 Ortiz Ropero</dc:creator>
  <cp:lastModifiedBy>Sergi Ortiz Ropero</cp:lastModifiedBy>
  <dcterms:created xsi:type="dcterms:W3CDTF">2025-05-09T17:05:09Z</dcterms:created>
  <dcterms:modified xsi:type="dcterms:W3CDTF">2025-05-18T22:13:43Z</dcterms:modified>
</cp:coreProperties>
</file>