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polec-my.sharepoint.com/personal/skveliz_espol_edu_ec/Documents/Documentos/12vo Semestre (último)/Diseño Mecatrónico/Proyecto/Diseño Mecánico/solucion GANADORA/"/>
    </mc:Choice>
  </mc:AlternateContent>
  <xr:revisionPtr revIDLastSave="1522" documentId="13_ncr:1_{8265AED0-2951-4BA7-ADC4-20B2AD59BF1C}" xr6:coauthVersionLast="47" xr6:coauthVersionMax="47" xr10:uidLastSave="{7E29DD8E-B5A5-48B1-9B31-0B63A28EDD75}"/>
  <bookViews>
    <workbookView xWindow="675" yWindow="1335" windowWidth="18060" windowHeight="9810" xr2:uid="{68645B7F-439F-424F-9552-79DD418C83C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" i="1" l="1"/>
  <c r="D153" i="1"/>
  <c r="D163" i="1" s="1"/>
  <c r="D147" i="1"/>
  <c r="D29" i="1"/>
  <c r="D99" i="1" s="1"/>
  <c r="D137" i="1"/>
  <c r="D132" i="1"/>
  <c r="D38" i="1"/>
  <c r="D41" i="1" s="1"/>
  <c r="M49" i="1"/>
  <c r="M38" i="1"/>
  <c r="J42" i="1"/>
  <c r="K39" i="1"/>
  <c r="J39" i="1"/>
  <c r="K38" i="1"/>
  <c r="J38" i="1"/>
  <c r="D127" i="1"/>
  <c r="D107" i="1"/>
  <c r="D118" i="1"/>
  <c r="D117" i="1"/>
  <c r="D116" i="1"/>
  <c r="D114" i="1"/>
  <c r="D61" i="1"/>
  <c r="D28" i="1" s="1"/>
  <c r="D97" i="1"/>
  <c r="D77" i="1"/>
  <c r="D65" i="1"/>
  <c r="D22" i="1"/>
  <c r="D21" i="1"/>
  <c r="D23" i="1"/>
  <c r="D6" i="1"/>
  <c r="D75" i="1" s="1"/>
  <c r="D4" i="1"/>
  <c r="D72" i="1" s="1"/>
  <c r="D70" i="1"/>
  <c r="D3" i="1" s="1"/>
  <c r="D71" i="1" s="1"/>
  <c r="D68" i="1"/>
  <c r="D78" i="1"/>
  <c r="D80" i="1" s="1"/>
  <c r="D92" i="1"/>
  <c r="D30" i="1" l="1"/>
  <c r="D31" i="1"/>
  <c r="D154" i="1"/>
  <c r="D145" i="1"/>
  <c r="D2" i="1"/>
  <c r="D62" i="1" s="1"/>
  <c r="D146" i="1"/>
  <c r="D5" i="1"/>
  <c r="D7" i="1" s="1"/>
  <c r="D13" i="1" s="1"/>
  <c r="M42" i="1"/>
  <c r="M45" i="1" s="1"/>
  <c r="D112" i="1"/>
  <c r="D101" i="1"/>
  <c r="D26" i="1"/>
  <c r="D125" i="1"/>
  <c r="D108" i="1"/>
  <c r="D88" i="1"/>
  <c r="D79" i="1"/>
  <c r="D157" i="1" l="1"/>
  <c r="D158" i="1" s="1"/>
  <c r="D159" i="1" s="1"/>
  <c r="D172" i="1" s="1"/>
  <c r="D81" i="1"/>
  <c r="D24" i="1"/>
  <c r="D10" i="1"/>
  <c r="M43" i="1"/>
  <c r="M47" i="1"/>
  <c r="M53" i="1" s="1"/>
  <c r="M54" i="1" s="1"/>
  <c r="M55" i="1" s="1"/>
  <c r="M56" i="1" s="1"/>
  <c r="D74" i="1"/>
  <c r="D73" i="1" s="1"/>
  <c r="D161" i="1" l="1"/>
  <c r="D76" i="1"/>
  <c r="D11" i="1" l="1"/>
  <c r="D12" i="1" s="1"/>
  <c r="D14" i="1"/>
  <c r="D15" i="1" s="1"/>
  <c r="D16" i="1" s="1"/>
  <c r="D25" i="1" l="1"/>
  <c r="D63" i="1"/>
  <c r="D17" i="1"/>
  <c r="G49" i="1" s="1"/>
  <c r="D42" i="1" l="1"/>
  <c r="D27" i="1"/>
  <c r="D64" i="1"/>
  <c r="D98" i="1" l="1"/>
  <c r="D43" i="1"/>
  <c r="D44" i="1"/>
  <c r="D45" i="1" s="1"/>
  <c r="D100" i="1"/>
  <c r="H110" i="1"/>
  <c r="D48" i="1" l="1"/>
  <c r="D49" i="1" s="1"/>
  <c r="D19" i="1" s="1"/>
  <c r="D32" i="1" s="1"/>
  <c r="D46" i="1"/>
  <c r="D47" i="1" s="1"/>
  <c r="D53" i="1" s="1"/>
  <c r="D109" i="1"/>
  <c r="G43" i="1" l="1"/>
  <c r="D54" i="1"/>
  <c r="D55" i="1" s="1"/>
  <c r="D56" i="1" s="1"/>
  <c r="G45" i="1"/>
  <c r="D111" i="1"/>
  <c r="D113" i="1"/>
  <c r="D110" i="1"/>
  <c r="D102" i="1"/>
  <c r="D103" i="1" s="1"/>
  <c r="D115" i="1"/>
  <c r="D120" i="1" l="1"/>
  <c r="D119" i="1"/>
  <c r="D124" i="1" l="1"/>
</calcChain>
</file>

<file path=xl/sharedStrings.xml><?xml version="1.0" encoding="utf-8"?>
<sst xmlns="http://schemas.openxmlformats.org/spreadsheetml/2006/main" count="447" uniqueCount="202">
  <si>
    <t>mm</t>
  </si>
  <si>
    <t>r2o</t>
  </si>
  <si>
    <t>thikness</t>
  </si>
  <si>
    <t>separation_space</t>
  </si>
  <si>
    <t>width_finger</t>
  </si>
  <si>
    <t>hand_lenght</t>
  </si>
  <si>
    <t>hand_space</t>
  </si>
  <si>
    <t>joint_width</t>
  </si>
  <si>
    <t>shaft_width</t>
  </si>
  <si>
    <t>shaft_joint_diameter</t>
  </si>
  <si>
    <t>joint_radius</t>
  </si>
  <si>
    <t>Units</t>
  </si>
  <si>
    <t>Values</t>
  </si>
  <si>
    <t>Variable names</t>
  </si>
  <si>
    <t>Variable sections</t>
  </si>
  <si>
    <t>height_finger</t>
  </si>
  <si>
    <t>cell_screw_diameter</t>
  </si>
  <si>
    <t>cell_space</t>
  </si>
  <si>
    <t>cell_width</t>
  </si>
  <si>
    <t>cell_thikness</t>
  </si>
  <si>
    <t>cell_theta_position</t>
  </si>
  <si>
    <t>cell_z_space</t>
  </si>
  <si>
    <t>cell_screw_head_diameter</t>
  </si>
  <si>
    <t>r1</t>
  </si>
  <si>
    <t>r2max</t>
  </si>
  <si>
    <t>θ3</t>
  </si>
  <si>
    <t>r4</t>
  </si>
  <si>
    <t>θ3o</t>
  </si>
  <si>
    <t>θ4o</t>
  </si>
  <si>
    <t>r2o rounded</t>
  </si>
  <si>
    <t>∆y</t>
  </si>
  <si>
    <t>cm</t>
  </si>
  <si>
    <t>r3</t>
  </si>
  <si>
    <t>inclinación de dedo recogido</t>
  </si>
  <si>
    <t>angular resorter</t>
  </si>
  <si>
    <t>width_ang_spring</t>
  </si>
  <si>
    <t>wire_d</t>
  </si>
  <si>
    <t>vueltas</t>
  </si>
  <si>
    <t>su</t>
  </si>
  <si>
    <t>spring_int_diam</t>
  </si>
  <si>
    <t>spring_ext_diam</t>
  </si>
  <si>
    <t>Modelo Matemático</t>
  </si>
  <si>
    <t>secure_distance</t>
  </si>
  <si>
    <t>θ4max</t>
  </si>
  <si>
    <t>r2max rounded</t>
  </si>
  <si>
    <t>obtenido del width_finger</t>
  </si>
  <si>
    <t>Obtenido del resorte de potencia</t>
  </si>
  <si>
    <t>r3R</t>
  </si>
  <si>
    <t>alpha</t>
  </si>
  <si>
    <t>alpha2</t>
  </si>
  <si>
    <t>obtenido de r3</t>
  </si>
  <si>
    <t>Modelo de cadena de eslabones 2</t>
  </si>
  <si>
    <t>Modelo de cadena de eslabones 1</t>
  </si>
  <si>
    <t>Px</t>
  </si>
  <si>
    <t>θ2o</t>
  </si>
  <si>
    <t>Δθ1</t>
  </si>
  <si>
    <t>θ1o</t>
  </si>
  <si>
    <t>θ2f</t>
  </si>
  <si>
    <t>θ3f</t>
  </si>
  <si>
    <t>r2</t>
  </si>
  <si>
    <t>r2 rounded</t>
  </si>
  <si>
    <t>Py</t>
  </si>
  <si>
    <t>desplazamiento angular del gatillo</t>
  </si>
  <si>
    <t>barra</t>
  </si>
  <si>
    <t>R1</t>
  </si>
  <si>
    <t>R2</t>
  </si>
  <si>
    <t>b</t>
  </si>
  <si>
    <t>a</t>
  </si>
  <si>
    <t>R</t>
  </si>
  <si>
    <t>Dt</t>
  </si>
  <si>
    <t>θ_arco</t>
  </si>
  <si>
    <t>offset</t>
  </si>
  <si>
    <t>width_link</t>
  </si>
  <si>
    <t>lenght_link</t>
  </si>
  <si>
    <t>lenght joint-to-joint</t>
  </si>
  <si>
    <t>shaft_x</t>
  </si>
  <si>
    <t>shaft_y</t>
  </si>
  <si>
    <t>Djoint_shaft</t>
  </si>
  <si>
    <t>trigger_thumb_lenght</t>
  </si>
  <si>
    <t>r1 rounded</t>
  </si>
  <si>
    <t>r1'</t>
  </si>
  <si>
    <t>r1' rounded</t>
  </si>
  <si>
    <t>width_r12</t>
  </si>
  <si>
    <t>width_r3</t>
  </si>
  <si>
    <t>cell_lenght</t>
  </si>
  <si>
    <t>lenght_body_link</t>
  </si>
  <si>
    <t>***</t>
  </si>
  <si>
    <t>junta</t>
  </si>
  <si>
    <t>m1</t>
  </si>
  <si>
    <t>delta_y</t>
  </si>
  <si>
    <t>General</t>
  </si>
  <si>
    <t>Junta del dedo</t>
  </si>
  <si>
    <t>delta_theta_3</t>
  </si>
  <si>
    <t>wire_D</t>
  </si>
  <si>
    <t>joint dimentions</t>
  </si>
  <si>
    <t>Finger</t>
  </si>
  <si>
    <t>Load Cell</t>
  </si>
  <si>
    <t>Grip Handle Dimentions (agarre)</t>
  </si>
  <si>
    <t>Barra m1-m2</t>
  </si>
  <si>
    <t>Finger internal dimentions</t>
  </si>
  <si>
    <t>r3T</t>
  </si>
  <si>
    <t>soporte</t>
  </si>
  <si>
    <t>lenght_bar_support</t>
  </si>
  <si>
    <t>trigger_offset</t>
  </si>
  <si>
    <t>tg_lenght</t>
  </si>
  <si>
    <t>trigger groove</t>
  </si>
  <si>
    <t>tg_width</t>
  </si>
  <si>
    <t>trigger</t>
  </si>
  <si>
    <t>m2_r2</t>
  </si>
  <si>
    <t>m2_theta2o</t>
  </si>
  <si>
    <t>m2_theta3o</t>
  </si>
  <si>
    <t>m2_r3</t>
  </si>
  <si>
    <t>m2_delta_theta1</t>
  </si>
  <si>
    <t>m2_theta3f</t>
  </si>
  <si>
    <t>m2_r1</t>
  </si>
  <si>
    <t>m2_r1_down_width</t>
  </si>
  <si>
    <t>"Link" r4 model 1</t>
  </si>
  <si>
    <t>t_thikness</t>
  </si>
  <si>
    <t>t_thikness2</t>
  </si>
  <si>
    <t>r3_thikness</t>
  </si>
  <si>
    <t>pivot_screw_d</t>
  </si>
  <si>
    <t>pivot_diameter</t>
  </si>
  <si>
    <t>Snap joints</t>
  </si>
  <si>
    <t>sj_diam_shaft</t>
  </si>
  <si>
    <t>sj_groove</t>
  </si>
  <si>
    <t>sj_head_height</t>
  </si>
  <si>
    <t>sj_head_D</t>
  </si>
  <si>
    <t>sj_head_d</t>
  </si>
  <si>
    <t>sj_groove_deep</t>
  </si>
  <si>
    <t>Pivot</t>
  </si>
  <si>
    <t>ranura del gatillo en la base</t>
  </si>
  <si>
    <t>gr</t>
  </si>
  <si>
    <t>Si Δθ1 aumenta más, θ3f deberá aumentár mucho más en sentido negativo. Aunque consideramos no debe de superar los -60° porque luego de eso es más probable que hayan choques entre piezas de los mecanismos</t>
  </si>
  <si>
    <t>factor_r3_r2</t>
  </si>
  <si>
    <t>r3 rounded</t>
  </si>
  <si>
    <t>So</t>
  </si>
  <si>
    <t>So rounded</t>
  </si>
  <si>
    <t>e</t>
  </si>
  <si>
    <t>Ubicación del pivote respecto a la barra en x</t>
  </si>
  <si>
    <t>Ubicación del pivote respecto a la barra en y</t>
  </si>
  <si>
    <t>eccentricity</t>
  </si>
  <si>
    <t>eccentricity rounded</t>
  </si>
  <si>
    <t>minimo So -&gt;</t>
  </si>
  <si>
    <t>theta3_recogido</t>
  </si>
  <si>
    <t>En esta variable definimos 77.3 como angulo entre el sj_head_D y la hipotenusa del cono truncado de esta junta</t>
  </si>
  <si>
    <t>Snap fit unions</t>
  </si>
  <si>
    <t>sf_lenght</t>
  </si>
  <si>
    <t>sf_head_height</t>
  </si>
  <si>
    <t>sf_base</t>
  </si>
  <si>
    <t>sf_head_width</t>
  </si>
  <si>
    <t>sf_head_offset</t>
  </si>
  <si>
    <t>sf_head_grip_width</t>
  </si>
  <si>
    <t>Screw joint</t>
  </si>
  <si>
    <t>sf_head_angle</t>
  </si>
  <si>
    <t>sf_thikness</t>
  </si>
  <si>
    <t>screw_Dhead</t>
  </si>
  <si>
    <t>screw_d</t>
  </si>
  <si>
    <t>screw_lenght</t>
  </si>
  <si>
    <t>screwJ_base_D</t>
  </si>
  <si>
    <t>screwJ_top_D</t>
  </si>
  <si>
    <t>guide joint</t>
  </si>
  <si>
    <t>gj_D</t>
  </si>
  <si>
    <t>gj_d</t>
  </si>
  <si>
    <t>gj_out_section</t>
  </si>
  <si>
    <t>Spring</t>
  </si>
  <si>
    <t>wire_spring_d</t>
  </si>
  <si>
    <t>spring_int_d</t>
  </si>
  <si>
    <t>spring_lenght</t>
  </si>
  <si>
    <t>Grosor de las paredes de impresión</t>
  </si>
  <si>
    <t>Usado para calcular separación entre piezas y no haya fricción o considerar errores en presición de impresión por expanción del plástico</t>
  </si>
  <si>
    <t>offset_joint</t>
  </si>
  <si>
    <t>adicional por acumulación de material en el giro del gancho</t>
  </si>
  <si>
    <t>Circuit Box</t>
  </si>
  <si>
    <t>box_in_deep</t>
  </si>
  <si>
    <t>box_in_width</t>
  </si>
  <si>
    <t>box_in_height</t>
  </si>
  <si>
    <t>thikness_box</t>
  </si>
  <si>
    <t>Box basic dimensions</t>
  </si>
  <si>
    <t>offset_base_box</t>
  </si>
  <si>
    <t>Base dimentions</t>
  </si>
  <si>
    <t>box_separation</t>
  </si>
  <si>
    <t>box_base_lenght</t>
  </si>
  <si>
    <t>box_slim_slider_lenght</t>
  </si>
  <si>
    <t>box_base_width</t>
  </si>
  <si>
    <t>box_fat_slider_lenght</t>
  </si>
  <si>
    <t>sf_flex_separation</t>
  </si>
  <si>
    <t>flex_separation_theta</t>
  </si>
  <si>
    <t>altura de batería + 2mm</t>
  </si>
  <si>
    <t>snapfit</t>
  </si>
  <si>
    <t>sliders</t>
  </si>
  <si>
    <t>int_width_slider</t>
  </si>
  <si>
    <t>ext_width_slider</t>
  </si>
  <si>
    <t>fat_width_slider</t>
  </si>
  <si>
    <t>slim_width_slider</t>
  </si>
  <si>
    <t>agarradera</t>
  </si>
  <si>
    <t>agarradera_theta</t>
  </si>
  <si>
    <t>agarradera_width</t>
  </si>
  <si>
    <t>sfbox_width</t>
  </si>
  <si>
    <t>sfbox_tip_width</t>
  </si>
  <si>
    <t>sfbox_theta1</t>
  </si>
  <si>
    <t>sfbox_theta2</t>
  </si>
  <si>
    <t>agarradera_position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</si>
</sst>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2" xfId="0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2" fillId="0" borderId="14" xfId="0" applyFont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12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0" xfId="0" applyAlignment="1">
      <alignment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0B03-2201-446C-B033-45472D471BD8}">
  <dimension ref="A1:M172"/>
  <sheetViews>
    <sheetView tabSelected="1" topLeftCell="A145" workbookViewId="0">
      <selection activeCell="D152" sqref="D152"/>
    </sheetView>
  </sheetViews>
  <sheetFormatPr baseColWidth="10" defaultRowHeight="15" x14ac:dyDescent="0.25"/>
  <cols>
    <col min="1" max="1" width="11.42578125" style="4"/>
    <col min="2" max="2" width="18.140625" style="4" customWidth="1"/>
    <col min="3" max="3" width="25.140625" style="1" customWidth="1"/>
    <col min="4" max="4" width="18" style="1" customWidth="1"/>
    <col min="5" max="5" width="7.7109375" style="1" customWidth="1"/>
    <col min="6" max="6" width="50.5703125" customWidth="1"/>
    <col min="7" max="7" width="15.140625" customWidth="1"/>
    <col min="10" max="10" width="20.28515625" customWidth="1"/>
    <col min="12" max="12" width="22.85546875" customWidth="1"/>
    <col min="13" max="13" width="18.140625" customWidth="1"/>
  </cols>
  <sheetData>
    <row r="1" spans="2:10" x14ac:dyDescent="0.25">
      <c r="C1" s="1" t="s">
        <v>41</v>
      </c>
    </row>
    <row r="2" spans="2:10" ht="30" x14ac:dyDescent="0.25">
      <c r="B2" s="4" t="s">
        <v>52</v>
      </c>
      <c r="C2" s="1" t="s">
        <v>23</v>
      </c>
      <c r="D2" s="1">
        <f>D84/20-(D96+D61+D29/2)/10</f>
        <v>0.55500000000000005</v>
      </c>
      <c r="E2" s="1" t="s">
        <v>31</v>
      </c>
      <c r="F2" t="s">
        <v>45</v>
      </c>
      <c r="I2" t="s">
        <v>86</v>
      </c>
    </row>
    <row r="3" spans="2:10" x14ac:dyDescent="0.25">
      <c r="C3" s="2" t="s">
        <v>32</v>
      </c>
      <c r="D3" s="2">
        <f>(D70/10)/2+0.1*3</f>
        <v>0.82500000000000007</v>
      </c>
      <c r="E3" s="1" t="s">
        <v>31</v>
      </c>
      <c r="F3" t="s">
        <v>46</v>
      </c>
      <c r="I3" t="s">
        <v>86</v>
      </c>
      <c r="J3" t="s">
        <v>87</v>
      </c>
    </row>
    <row r="4" spans="2:10" x14ac:dyDescent="0.25">
      <c r="C4" s="1" t="s">
        <v>47</v>
      </c>
      <c r="D4" s="1">
        <f>((D69+D66)/2)/10</f>
        <v>0.47499999999999998</v>
      </c>
      <c r="E4" s="1" t="s">
        <v>31</v>
      </c>
      <c r="F4" t="s">
        <v>46</v>
      </c>
      <c r="I4" t="s">
        <v>86</v>
      </c>
      <c r="J4" t="s">
        <v>87</v>
      </c>
    </row>
    <row r="5" spans="2:10" x14ac:dyDescent="0.25">
      <c r="C5" s="1" t="s">
        <v>48</v>
      </c>
      <c r="D5" s="1">
        <f>ACOS(D4/D3)*180/PI()</f>
        <v>54.847297033219974</v>
      </c>
      <c r="E5" s="1" t="s">
        <v>131</v>
      </c>
      <c r="F5" t="s">
        <v>50</v>
      </c>
      <c r="I5" t="s">
        <v>86</v>
      </c>
      <c r="J5" t="s">
        <v>87</v>
      </c>
    </row>
    <row r="6" spans="2:10" x14ac:dyDescent="0.25">
      <c r="C6" s="2" t="s">
        <v>49</v>
      </c>
      <c r="D6" s="2">
        <f>360-45-45</f>
        <v>270</v>
      </c>
      <c r="E6" s="1" t="s">
        <v>131</v>
      </c>
      <c r="I6" t="s">
        <v>86</v>
      </c>
      <c r="J6" t="s">
        <v>87</v>
      </c>
    </row>
    <row r="7" spans="2:10" x14ac:dyDescent="0.25">
      <c r="C7" s="1" t="s">
        <v>25</v>
      </c>
      <c r="D7" s="1">
        <f>D6-D5+90</f>
        <v>305.15270296678</v>
      </c>
      <c r="E7" s="1" t="s">
        <v>131</v>
      </c>
    </row>
    <row r="8" spans="2:10" ht="30" x14ac:dyDescent="0.25">
      <c r="C8" s="3" t="s">
        <v>33</v>
      </c>
      <c r="D8" s="2">
        <v>45</v>
      </c>
      <c r="E8" s="1" t="s">
        <v>131</v>
      </c>
      <c r="I8" t="s">
        <v>86</v>
      </c>
      <c r="J8" t="s">
        <v>87</v>
      </c>
    </row>
    <row r="9" spans="2:10" x14ac:dyDescent="0.25">
      <c r="C9" s="2" t="s">
        <v>26</v>
      </c>
      <c r="D9" s="2">
        <v>6</v>
      </c>
      <c r="E9" s="1" t="s">
        <v>31</v>
      </c>
      <c r="I9" t="s">
        <v>86</v>
      </c>
      <c r="J9" t="s">
        <v>88</v>
      </c>
    </row>
    <row r="10" spans="2:10" x14ac:dyDescent="0.25">
      <c r="C10" s="1" t="s">
        <v>43</v>
      </c>
      <c r="D10" s="1">
        <f>ACOS((D2+D3*COS(D7*PI()/180))/D9)*180/PI()</f>
        <v>80.115263269421163</v>
      </c>
      <c r="E10" s="1" t="s">
        <v>131</v>
      </c>
    </row>
    <row r="11" spans="2:10" x14ac:dyDescent="0.25">
      <c r="C11" s="1" t="s">
        <v>24</v>
      </c>
      <c r="D11" s="1">
        <f>D9*SIN(D10*PI()/180)-D3*SIN(D7*PI()/180)</f>
        <v>6.5854674309595298</v>
      </c>
      <c r="E11" s="1" t="s">
        <v>31</v>
      </c>
    </row>
    <row r="12" spans="2:10" x14ac:dyDescent="0.25">
      <c r="C12" s="1" t="s">
        <v>44</v>
      </c>
      <c r="D12" s="1">
        <f>MROUND(D11, 0.025)</f>
        <v>6.5750000000000002</v>
      </c>
      <c r="E12" s="1" t="s">
        <v>31</v>
      </c>
    </row>
    <row r="13" spans="2:10" x14ac:dyDescent="0.25">
      <c r="C13" s="1" t="s">
        <v>27</v>
      </c>
      <c r="D13" s="1">
        <f>D7+D8</f>
        <v>350.15270296678</v>
      </c>
      <c r="E13" s="1" t="s">
        <v>131</v>
      </c>
    </row>
    <row r="14" spans="2:10" x14ac:dyDescent="0.25">
      <c r="C14" s="1" t="s">
        <v>28</v>
      </c>
      <c r="D14" s="1">
        <f>ACOS((D2+D3*COS(D13*PI()/180))/D9)*180/PI()</f>
        <v>76.822165092353202</v>
      </c>
      <c r="E14" s="1" t="s">
        <v>131</v>
      </c>
    </row>
    <row r="15" spans="2:10" x14ac:dyDescent="0.25">
      <c r="C15" s="1" t="s">
        <v>1</v>
      </c>
      <c r="D15" s="1">
        <f>D9*SIN(D14*PI()/180)-D3*SIN(D13*PI()/180)</f>
        <v>5.9830968902317485</v>
      </c>
      <c r="E15" s="1" t="s">
        <v>31</v>
      </c>
    </row>
    <row r="16" spans="2:10" x14ac:dyDescent="0.25">
      <c r="C16" s="1" t="s">
        <v>29</v>
      </c>
      <c r="D16" s="1">
        <f>MROUND(D15, 0.025)</f>
        <v>5.9750000000000005</v>
      </c>
      <c r="E16" s="1" t="s">
        <v>31</v>
      </c>
      <c r="I16" t="s">
        <v>86</v>
      </c>
      <c r="J16" t="s">
        <v>88</v>
      </c>
    </row>
    <row r="17" spans="2:10" x14ac:dyDescent="0.25">
      <c r="C17" s="1" t="s">
        <v>30</v>
      </c>
      <c r="D17" s="1">
        <f>D12-D16</f>
        <v>0.59999999999999964</v>
      </c>
      <c r="E17" s="1" t="s">
        <v>31</v>
      </c>
      <c r="I17" t="s">
        <v>86</v>
      </c>
      <c r="J17" t="s">
        <v>88</v>
      </c>
    </row>
    <row r="19" spans="2:10" x14ac:dyDescent="0.25">
      <c r="B19" s="4" t="s">
        <v>63</v>
      </c>
      <c r="C19" s="1" t="s">
        <v>73</v>
      </c>
      <c r="D19" s="1">
        <f>D93-(D16*10-D24)-(D49-(D34+D51/2))*10</f>
        <v>187.5</v>
      </c>
      <c r="E19" s="1" t="s">
        <v>0</v>
      </c>
      <c r="F19" t="s">
        <v>74</v>
      </c>
    </row>
    <row r="20" spans="2:10" x14ac:dyDescent="0.25">
      <c r="C20" s="2" t="s">
        <v>72</v>
      </c>
      <c r="D20" s="2">
        <v>8</v>
      </c>
      <c r="E20" s="1" t="s">
        <v>0</v>
      </c>
      <c r="I20" t="s">
        <v>86</v>
      </c>
      <c r="J20" t="s">
        <v>63</v>
      </c>
    </row>
    <row r="21" spans="2:10" x14ac:dyDescent="0.25">
      <c r="C21" s="1" t="s">
        <v>64</v>
      </c>
      <c r="D21" s="1">
        <f>(D84)/2</f>
        <v>10</v>
      </c>
      <c r="E21" s="1" t="s">
        <v>0</v>
      </c>
    </row>
    <row r="22" spans="2:10" x14ac:dyDescent="0.25">
      <c r="C22" s="1" t="s">
        <v>65</v>
      </c>
      <c r="D22" s="1">
        <f>(45-D60*2)/2</f>
        <v>20.5</v>
      </c>
      <c r="E22" s="1" t="s">
        <v>0</v>
      </c>
    </row>
    <row r="23" spans="2:10" x14ac:dyDescent="0.25">
      <c r="C23" s="1" t="s">
        <v>66</v>
      </c>
      <c r="D23" s="1">
        <f>D93</f>
        <v>250</v>
      </c>
      <c r="E23" s="1" t="s">
        <v>0</v>
      </c>
    </row>
    <row r="24" spans="2:10" x14ac:dyDescent="0.25">
      <c r="C24" s="1" t="s">
        <v>67</v>
      </c>
      <c r="D24" s="1">
        <f>D79+D82</f>
        <v>8.25</v>
      </c>
      <c r="E24" s="1" t="s">
        <v>0</v>
      </c>
    </row>
    <row r="25" spans="2:10" x14ac:dyDescent="0.25">
      <c r="C25" s="1" t="s">
        <v>68</v>
      </c>
      <c r="D25" s="1">
        <f>(D16-D24)*((D22-D21)/D23)+D21</f>
        <v>9.9044500000000006</v>
      </c>
      <c r="E25" s="1" t="s">
        <v>0</v>
      </c>
    </row>
    <row r="26" spans="2:10" x14ac:dyDescent="0.25">
      <c r="C26" s="1" t="s">
        <v>70</v>
      </c>
      <c r="D26" s="1">
        <f>2*ASIN(((D20+D61)/2)/D21)*(180/PI())</f>
        <v>53.487367900806014</v>
      </c>
      <c r="E26" s="1" t="s">
        <v>131</v>
      </c>
    </row>
    <row r="27" spans="2:10" x14ac:dyDescent="0.25">
      <c r="C27" s="1" t="s">
        <v>69</v>
      </c>
      <c r="D27" s="1">
        <f>D25*(1-COS((D26*PI()/180)/2))</f>
        <v>1.0594933286819463</v>
      </c>
      <c r="E27" s="1" t="s">
        <v>0</v>
      </c>
      <c r="I27" t="s">
        <v>86</v>
      </c>
      <c r="J27" t="s">
        <v>63</v>
      </c>
    </row>
    <row r="28" spans="2:10" x14ac:dyDescent="0.25">
      <c r="C28" s="1" t="s">
        <v>170</v>
      </c>
      <c r="D28" s="1">
        <f>D61*2</f>
        <v>2</v>
      </c>
      <c r="E28" s="1" t="s">
        <v>0</v>
      </c>
      <c r="F28" t="s">
        <v>171</v>
      </c>
    </row>
    <row r="29" spans="2:10" x14ac:dyDescent="0.25">
      <c r="C29" s="1" t="s">
        <v>77</v>
      </c>
      <c r="D29" s="1">
        <f>D96</f>
        <v>2.2999999999999998</v>
      </c>
      <c r="E29" s="1" t="s">
        <v>0</v>
      </c>
      <c r="I29" t="s">
        <v>86</v>
      </c>
      <c r="J29" t="s">
        <v>63</v>
      </c>
    </row>
    <row r="30" spans="2:10" x14ac:dyDescent="0.25">
      <c r="C30" s="1" t="s">
        <v>75</v>
      </c>
      <c r="D30" s="1">
        <f>(D61+D96+D28+D29/2)-(D61+D20/2)</f>
        <v>1.4499999999999993</v>
      </c>
      <c r="E30" s="1" t="s">
        <v>0</v>
      </c>
      <c r="I30" t="s">
        <v>86</v>
      </c>
      <c r="J30" t="s">
        <v>63</v>
      </c>
    </row>
    <row r="31" spans="2:10" x14ac:dyDescent="0.25">
      <c r="C31" s="1" t="s">
        <v>76</v>
      </c>
      <c r="D31" s="1">
        <f>D96+D61+D29/2+D28</f>
        <v>6.4499999999999993</v>
      </c>
      <c r="E31" s="1" t="s">
        <v>0</v>
      </c>
      <c r="I31" t="s">
        <v>86</v>
      </c>
      <c r="J31" t="s">
        <v>63</v>
      </c>
    </row>
    <row r="32" spans="2:10" x14ac:dyDescent="0.25">
      <c r="C32" s="1" t="s">
        <v>85</v>
      </c>
      <c r="D32" s="1">
        <f>D19-D31+(D52*10)/2</f>
        <v>186.05</v>
      </c>
      <c r="E32" s="1" t="s">
        <v>0</v>
      </c>
      <c r="I32" t="s">
        <v>86</v>
      </c>
      <c r="J32" t="s">
        <v>63</v>
      </c>
    </row>
    <row r="34" spans="2:13" ht="30" x14ac:dyDescent="0.25">
      <c r="B34" s="4" t="s">
        <v>51</v>
      </c>
      <c r="C34" s="2" t="s">
        <v>103</v>
      </c>
      <c r="D34" s="2">
        <v>0.2</v>
      </c>
      <c r="E34" s="1" t="s">
        <v>31</v>
      </c>
      <c r="I34" t="s">
        <v>86</v>
      </c>
      <c r="L34" s="2" t="s">
        <v>103</v>
      </c>
      <c r="M34" s="2">
        <v>0.4</v>
      </c>
    </row>
    <row r="35" spans="2:13" x14ac:dyDescent="0.25">
      <c r="C35" s="2" t="s">
        <v>56</v>
      </c>
      <c r="D35" s="2">
        <v>0</v>
      </c>
      <c r="E35" s="1" t="s">
        <v>131</v>
      </c>
      <c r="L35" s="2" t="s">
        <v>56</v>
      </c>
      <c r="M35" s="2">
        <v>0</v>
      </c>
    </row>
    <row r="36" spans="2:13" x14ac:dyDescent="0.25">
      <c r="C36" s="2" t="s">
        <v>54</v>
      </c>
      <c r="D36" s="2">
        <v>107</v>
      </c>
      <c r="E36" s="1" t="s">
        <v>131</v>
      </c>
      <c r="I36" t="s">
        <v>86</v>
      </c>
      <c r="L36" s="2" t="s">
        <v>54</v>
      </c>
      <c r="M36" s="2">
        <v>105</v>
      </c>
    </row>
    <row r="37" spans="2:13" x14ac:dyDescent="0.25">
      <c r="C37" s="2" t="s">
        <v>55</v>
      </c>
      <c r="D37" s="2">
        <v>15</v>
      </c>
      <c r="E37" s="1" t="s">
        <v>131</v>
      </c>
      <c r="F37" t="s">
        <v>62</v>
      </c>
      <c r="I37" t="s">
        <v>86</v>
      </c>
      <c r="L37" s="2" t="s">
        <v>55</v>
      </c>
      <c r="M37" s="2">
        <v>20</v>
      </c>
    </row>
    <row r="38" spans="2:13" x14ac:dyDescent="0.25">
      <c r="C38" s="1" t="s">
        <v>57</v>
      </c>
      <c r="D38" s="1">
        <f>D36-D37</f>
        <v>92</v>
      </c>
      <c r="E38" s="1" t="s">
        <v>131</v>
      </c>
      <c r="J38">
        <f>SIN(355*PI()/180)</f>
        <v>-8.7155742747658319E-2</v>
      </c>
      <c r="K38">
        <f>SIN(-5*PI()/180)</f>
        <v>-8.7155742747658166E-2</v>
      </c>
      <c r="L38" s="1" t="s">
        <v>57</v>
      </c>
      <c r="M38" s="1">
        <f>M36-M37</f>
        <v>85</v>
      </c>
    </row>
    <row r="39" spans="2:13" x14ac:dyDescent="0.25">
      <c r="C39" s="2" t="s">
        <v>27</v>
      </c>
      <c r="D39" s="2">
        <v>-30</v>
      </c>
      <c r="E39" s="1" t="s">
        <v>131</v>
      </c>
      <c r="I39" t="s">
        <v>86</v>
      </c>
      <c r="J39">
        <f>COS(355*PI()/180)</f>
        <v>0.99619469809174555</v>
      </c>
      <c r="K39">
        <f>COS(-5*PI()/180)</f>
        <v>0.99619469809174555</v>
      </c>
      <c r="L39" s="2" t="s">
        <v>27</v>
      </c>
      <c r="M39" s="2">
        <v>-8</v>
      </c>
    </row>
    <row r="40" spans="2:13" x14ac:dyDescent="0.25">
      <c r="C40" s="23" t="s">
        <v>58</v>
      </c>
      <c r="D40" s="2">
        <v>-60</v>
      </c>
      <c r="E40" s="1" t="s">
        <v>131</v>
      </c>
      <c r="F40" t="s">
        <v>132</v>
      </c>
      <c r="I40" t="s">
        <v>86</v>
      </c>
      <c r="L40" s="23" t="s">
        <v>58</v>
      </c>
      <c r="M40" s="2">
        <v>-60</v>
      </c>
    </row>
    <row r="41" spans="2:13" x14ac:dyDescent="0.25">
      <c r="C41" s="24" t="s">
        <v>133</v>
      </c>
      <c r="D41" s="1">
        <f>(COS(D38*PI()/180)-COS(D36*PI()/180))/(COS(D39*PI()/180)-COS(D40*PI()/180))</f>
        <v>0.70342715384822752</v>
      </c>
      <c r="E41" s="1" t="s">
        <v>38</v>
      </c>
      <c r="L41" s="23"/>
      <c r="M41" s="2"/>
    </row>
    <row r="42" spans="2:13" x14ac:dyDescent="0.25">
      <c r="C42" s="1" t="s">
        <v>59</v>
      </c>
      <c r="D42" s="1">
        <f>D17/((SIN(D36*PI()/180)-SIN(D38*PI()/180))+D41*(SIN(D39*PI()/180)-SIN(D40*PI()/180)))</f>
        <v>2.7986884249901882</v>
      </c>
      <c r="E42" s="1" t="s">
        <v>31</v>
      </c>
      <c r="J42">
        <f>SIN(D40*PI()/180)</f>
        <v>-0.8660254037844386</v>
      </c>
      <c r="L42" s="1" t="s">
        <v>59</v>
      </c>
      <c r="M42" s="1">
        <f>(M49-M17)/(SIN(M38*PI()/180)+((COS(M38*PI()/180)-COS(M36*PI()/180))/(COS(M39*PI()/180)-COS(M40*PI()/180)))*SIN(M40*PI()/180))</f>
        <v>3.3761531573741892</v>
      </c>
    </row>
    <row r="43" spans="2:13" x14ac:dyDescent="0.25">
      <c r="C43" s="1" t="s">
        <v>60</v>
      </c>
      <c r="D43" s="1">
        <f>MROUND(D42, 0.025)</f>
        <v>2.8000000000000003</v>
      </c>
      <c r="E43" s="1" t="s">
        <v>31</v>
      </c>
      <c r="G43">
        <f>(D49-D17)/(SIN(D38*PI()/180)+((COS(D38*PI()/180)-COS(D5*PI()/180))/(COS(D39*PI()/180)-COS(D40*PI()/180)))*SIN(D40*PI()/180))</f>
        <v>0.45004114273789902</v>
      </c>
      <c r="I43" t="s">
        <v>86</v>
      </c>
      <c r="L43" s="1" t="s">
        <v>60</v>
      </c>
      <c r="M43" s="1">
        <f>MROUND(M42, 0.025)</f>
        <v>3.375</v>
      </c>
    </row>
    <row r="44" spans="2:13" x14ac:dyDescent="0.25">
      <c r="C44" s="1" t="s">
        <v>32</v>
      </c>
      <c r="D44" s="1">
        <f>D41*D42</f>
        <v>1.9686734332988267</v>
      </c>
      <c r="E44" s="1" t="s">
        <v>31</v>
      </c>
      <c r="L44" s="1"/>
      <c r="M44" s="1"/>
    </row>
    <row r="45" spans="2:13" x14ac:dyDescent="0.25">
      <c r="C45" s="1" t="s">
        <v>134</v>
      </c>
      <c r="D45" s="1">
        <f>MROUND(D44, 0.025)</f>
        <v>1.9750000000000001</v>
      </c>
      <c r="E45" s="1" t="s">
        <v>31</v>
      </c>
      <c r="G45">
        <f>(D47-D42*COS(D36*PI()/180))/COS(D39*PI()/180)</f>
        <v>1.9840726360838505</v>
      </c>
      <c r="I45" t="s">
        <v>86</v>
      </c>
      <c r="L45" s="1" t="s">
        <v>32</v>
      </c>
      <c r="M45" s="1">
        <f>M42*(COS(M38*PI()/180)-COS(M36*PI()/180))/(COS(M39*PI()/180)-COS(M40*PI()/180))</f>
        <v>2.3825004050752403</v>
      </c>
    </row>
    <row r="46" spans="2:13" x14ac:dyDescent="0.25">
      <c r="C46" s="1" t="s">
        <v>140</v>
      </c>
      <c r="D46" s="1">
        <f>D43*COS(D36*PI()/180)+D45*COS(D39*PI()/180)</f>
        <v>0.89175939925060388</v>
      </c>
      <c r="E46" s="1" t="s">
        <v>31</v>
      </c>
      <c r="L46" s="1"/>
      <c r="M46" s="1"/>
    </row>
    <row r="47" spans="2:13" x14ac:dyDescent="0.25">
      <c r="C47" s="1" t="s">
        <v>141</v>
      </c>
      <c r="D47" s="1">
        <f>MROUND(D46, 0.025)</f>
        <v>0.9</v>
      </c>
      <c r="E47" s="1" t="s">
        <v>31</v>
      </c>
      <c r="I47" t="s">
        <v>86</v>
      </c>
      <c r="L47" s="1" t="s">
        <v>53</v>
      </c>
      <c r="M47" s="1">
        <f>M42*COS(M36*PI()/180)+M45*COS(M39*PI()/180)</f>
        <v>1.4855013385984188</v>
      </c>
    </row>
    <row r="48" spans="2:13" x14ac:dyDescent="0.25">
      <c r="C48" s="1" t="s">
        <v>135</v>
      </c>
      <c r="D48" s="1">
        <f>D43*SIN(D36*PI()/180)+D45*SIN(D39*PI()/180)</f>
        <v>1.6901533166965002</v>
      </c>
      <c r="E48" s="1" t="s">
        <v>31</v>
      </c>
      <c r="L48" s="1"/>
      <c r="M48" s="1"/>
    </row>
    <row r="49" spans="1:13" x14ac:dyDescent="0.25">
      <c r="C49" s="1" t="s">
        <v>136</v>
      </c>
      <c r="D49" s="1">
        <f>MROUND(D48, 0.025)</f>
        <v>1.7000000000000002</v>
      </c>
      <c r="E49" s="1" t="s">
        <v>31</v>
      </c>
      <c r="F49" s="25" t="s">
        <v>142</v>
      </c>
      <c r="G49">
        <f>D52/2+D17+D34+D51/2</f>
        <v>1.6999999999999997</v>
      </c>
      <c r="I49" t="s">
        <v>86</v>
      </c>
      <c r="L49" s="1" t="s">
        <v>61</v>
      </c>
      <c r="M49" s="1">
        <f>M52/2+M17+M34+M51/2</f>
        <v>1.3</v>
      </c>
    </row>
    <row r="50" spans="1:13" x14ac:dyDescent="0.25">
      <c r="C50" s="2" t="s">
        <v>78</v>
      </c>
      <c r="D50" s="2">
        <v>0.6</v>
      </c>
      <c r="E50" s="1" t="s">
        <v>31</v>
      </c>
      <c r="I50" t="s">
        <v>86</v>
      </c>
      <c r="L50" s="2" t="s">
        <v>78</v>
      </c>
      <c r="M50" s="2">
        <v>1</v>
      </c>
    </row>
    <row r="51" spans="1:13" x14ac:dyDescent="0.25">
      <c r="C51" s="2" t="s">
        <v>82</v>
      </c>
      <c r="D51" s="2">
        <v>0.8</v>
      </c>
      <c r="E51" s="1" t="s">
        <v>31</v>
      </c>
      <c r="I51" t="s">
        <v>86</v>
      </c>
      <c r="L51" s="2" t="s">
        <v>82</v>
      </c>
      <c r="M51" s="2">
        <v>0.8</v>
      </c>
    </row>
    <row r="52" spans="1:13" x14ac:dyDescent="0.25">
      <c r="C52" s="2" t="s">
        <v>83</v>
      </c>
      <c r="D52" s="2">
        <v>1</v>
      </c>
      <c r="E52" s="1" t="s">
        <v>31</v>
      </c>
      <c r="I52" t="s">
        <v>86</v>
      </c>
      <c r="L52" s="2" t="s">
        <v>83</v>
      </c>
      <c r="M52" s="2">
        <v>1</v>
      </c>
    </row>
    <row r="53" spans="1:13" x14ac:dyDescent="0.25">
      <c r="C53" s="1" t="s">
        <v>23</v>
      </c>
      <c r="D53" s="1">
        <f>D47+D52/2+D61/10+D61/10+D27/10+D60/10+D50</f>
        <v>2.5059493328681945</v>
      </c>
      <c r="E53" s="1" t="s">
        <v>31</v>
      </c>
      <c r="L53" s="1" t="s">
        <v>23</v>
      </c>
      <c r="M53" s="1">
        <f>M47+M52/2+M61/10+M61/10+M27/10+M60/10+M50</f>
        <v>2.9855013385984188</v>
      </c>
    </row>
    <row r="54" spans="1:13" x14ac:dyDescent="0.25">
      <c r="C54" s="1" t="s">
        <v>79</v>
      </c>
      <c r="D54" s="1">
        <f>MROUND(D53, 0.04)</f>
        <v>2.52</v>
      </c>
      <c r="E54" s="1" t="s">
        <v>31</v>
      </c>
      <c r="I54" t="s">
        <v>86</v>
      </c>
      <c r="L54" s="1" t="s">
        <v>79</v>
      </c>
      <c r="M54" s="1">
        <f>MROUND(M53, 0.04)</f>
        <v>3</v>
      </c>
    </row>
    <row r="55" spans="1:13" x14ac:dyDescent="0.25">
      <c r="C55" s="1" t="s">
        <v>80</v>
      </c>
      <c r="D55" s="1">
        <f>(D54*COS(D37*PI()/180)-(D54-D50))/SIN(D37*PI()/180)</f>
        <v>1.9864576891735271</v>
      </c>
      <c r="E55" s="1" t="s">
        <v>31</v>
      </c>
      <c r="L55" s="1" t="s">
        <v>80</v>
      </c>
      <c r="M55" s="1">
        <f>(M54*COS(M37*PI()/180)-(M54-M50))/SIN(M37*PI()/180)</f>
        <v>2.3948234580376928</v>
      </c>
    </row>
    <row r="56" spans="1:13" x14ac:dyDescent="0.25">
      <c r="C56" s="1" t="s">
        <v>81</v>
      </c>
      <c r="D56" s="1">
        <f>MROUND(D55, 0.04)</f>
        <v>2</v>
      </c>
      <c r="E56" s="1" t="s">
        <v>31</v>
      </c>
      <c r="I56" t="s">
        <v>86</v>
      </c>
      <c r="L56" s="1" t="s">
        <v>81</v>
      </c>
      <c r="M56" s="1">
        <f>MROUND(M55, 0.04)</f>
        <v>2.4</v>
      </c>
    </row>
    <row r="59" spans="1:13" x14ac:dyDescent="0.25">
      <c r="A59" s="29" t="s">
        <v>14</v>
      </c>
      <c r="B59" s="30"/>
      <c r="C59" s="16" t="s">
        <v>13</v>
      </c>
      <c r="D59" s="16" t="s">
        <v>12</v>
      </c>
      <c r="E59" s="16" t="s">
        <v>11</v>
      </c>
    </row>
    <row r="60" spans="1:13" ht="15" customHeight="1" x14ac:dyDescent="0.25">
      <c r="A60" s="34" t="s">
        <v>90</v>
      </c>
      <c r="B60" s="35"/>
      <c r="C60" s="5" t="s">
        <v>2</v>
      </c>
      <c r="D60" s="5">
        <v>2</v>
      </c>
      <c r="E60" s="6" t="s">
        <v>0</v>
      </c>
      <c r="F60" t="s">
        <v>168</v>
      </c>
    </row>
    <row r="61" spans="1:13" ht="45" x14ac:dyDescent="0.25">
      <c r="A61" s="36"/>
      <c r="B61" s="37"/>
      <c r="C61" s="13" t="s">
        <v>71</v>
      </c>
      <c r="D61" s="13">
        <f>1</f>
        <v>1</v>
      </c>
      <c r="E61" s="9" t="s">
        <v>0</v>
      </c>
      <c r="F61" s="28" t="s">
        <v>169</v>
      </c>
    </row>
    <row r="62" spans="1:13" x14ac:dyDescent="0.25">
      <c r="A62" s="34" t="s">
        <v>52</v>
      </c>
      <c r="B62" s="35"/>
      <c r="C62" s="1" t="s">
        <v>23</v>
      </c>
      <c r="D62" s="1">
        <f>D2*10</f>
        <v>5.5500000000000007</v>
      </c>
      <c r="E62" s="7" t="s">
        <v>0</v>
      </c>
    </row>
    <row r="63" spans="1:13" ht="15" customHeight="1" x14ac:dyDescent="0.25">
      <c r="A63" s="38"/>
      <c r="B63" s="39"/>
      <c r="C63" s="1" t="s">
        <v>1</v>
      </c>
      <c r="D63" s="1">
        <f>D16*10</f>
        <v>59.750000000000007</v>
      </c>
      <c r="E63" s="7" t="s">
        <v>0</v>
      </c>
    </row>
    <row r="64" spans="1:13" ht="15" customHeight="1" x14ac:dyDescent="0.25">
      <c r="A64" s="38"/>
      <c r="B64" s="39"/>
      <c r="C64" s="1" t="s">
        <v>89</v>
      </c>
      <c r="D64" s="1">
        <f>D17*10</f>
        <v>5.9999999999999964</v>
      </c>
      <c r="E64" s="7" t="s">
        <v>0</v>
      </c>
    </row>
    <row r="65" spans="1:5" x14ac:dyDescent="0.25">
      <c r="A65" s="36"/>
      <c r="B65" s="37"/>
      <c r="C65" s="8" t="s">
        <v>26</v>
      </c>
      <c r="D65" s="8">
        <f>D9*10</f>
        <v>60</v>
      </c>
      <c r="E65" s="9" t="s">
        <v>0</v>
      </c>
    </row>
    <row r="66" spans="1:5" x14ac:dyDescent="0.25">
      <c r="A66" s="31" t="s">
        <v>91</v>
      </c>
      <c r="B66" s="31" t="s">
        <v>34</v>
      </c>
      <c r="C66" s="10" t="s">
        <v>36</v>
      </c>
      <c r="D66" s="10">
        <v>1</v>
      </c>
      <c r="E66" s="6" t="s">
        <v>0</v>
      </c>
    </row>
    <row r="67" spans="1:5" ht="30" customHeight="1" x14ac:dyDescent="0.25">
      <c r="A67" s="32"/>
      <c r="B67" s="32"/>
      <c r="C67" s="11" t="s">
        <v>37</v>
      </c>
      <c r="D67" s="11">
        <v>4</v>
      </c>
      <c r="E67" s="7" t="s">
        <v>38</v>
      </c>
    </row>
    <row r="68" spans="1:5" x14ac:dyDescent="0.25">
      <c r="A68" s="32"/>
      <c r="B68" s="32"/>
      <c r="C68" s="1" t="s">
        <v>35</v>
      </c>
      <c r="D68" s="1">
        <f>(D67+1)*D66</f>
        <v>5</v>
      </c>
      <c r="E68" s="7" t="s">
        <v>0</v>
      </c>
    </row>
    <row r="69" spans="1:5" x14ac:dyDescent="0.25">
      <c r="A69" s="32"/>
      <c r="B69" s="32"/>
      <c r="C69" s="11" t="s">
        <v>39</v>
      </c>
      <c r="D69" s="11">
        <v>8.5</v>
      </c>
      <c r="E69" s="7" t="s">
        <v>0</v>
      </c>
    </row>
    <row r="70" spans="1:5" x14ac:dyDescent="0.25">
      <c r="A70" s="32"/>
      <c r="B70" s="33"/>
      <c r="C70" s="8" t="s">
        <v>40</v>
      </c>
      <c r="D70" s="8">
        <f>D69+2*D66</f>
        <v>10.5</v>
      </c>
      <c r="E70" s="9" t="s">
        <v>0</v>
      </c>
    </row>
    <row r="71" spans="1:5" x14ac:dyDescent="0.25">
      <c r="A71" s="32"/>
      <c r="B71" s="31" t="s">
        <v>52</v>
      </c>
      <c r="C71" s="12" t="s">
        <v>32</v>
      </c>
      <c r="D71" s="12">
        <f>D3*10</f>
        <v>8.25</v>
      </c>
      <c r="E71" s="6" t="s">
        <v>0</v>
      </c>
    </row>
    <row r="72" spans="1:5" ht="30" customHeight="1" x14ac:dyDescent="0.25">
      <c r="A72" s="32"/>
      <c r="B72" s="32"/>
      <c r="C72" s="1" t="s">
        <v>47</v>
      </c>
      <c r="D72" s="1">
        <f>D4*10</f>
        <v>4.75</v>
      </c>
      <c r="E72" s="7" t="s">
        <v>0</v>
      </c>
    </row>
    <row r="73" spans="1:5" x14ac:dyDescent="0.25">
      <c r="A73" s="32"/>
      <c r="B73" s="32"/>
      <c r="C73" s="1" t="s">
        <v>100</v>
      </c>
      <c r="D73" s="1">
        <f>D71*SIN(D74*PI()/180)</f>
        <v>6.7453687816160208</v>
      </c>
      <c r="E73" s="7" t="s">
        <v>0</v>
      </c>
    </row>
    <row r="74" spans="1:5" x14ac:dyDescent="0.25">
      <c r="A74" s="32"/>
      <c r="B74" s="32"/>
      <c r="C74" s="1" t="s">
        <v>48</v>
      </c>
      <c r="D74" s="1">
        <f>D5</f>
        <v>54.847297033219974</v>
      </c>
      <c r="E74" s="7" t="s">
        <v>131</v>
      </c>
    </row>
    <row r="75" spans="1:5" x14ac:dyDescent="0.25">
      <c r="A75" s="32"/>
      <c r="B75" s="32"/>
      <c r="C75" s="1" t="s">
        <v>49</v>
      </c>
      <c r="D75" s="1">
        <f>D6</f>
        <v>270</v>
      </c>
      <c r="E75" s="7" t="s">
        <v>131</v>
      </c>
    </row>
    <row r="76" spans="1:5" x14ac:dyDescent="0.25">
      <c r="A76" s="32"/>
      <c r="B76" s="32"/>
      <c r="C76" s="1" t="s">
        <v>143</v>
      </c>
      <c r="D76" s="1">
        <f>D7</f>
        <v>305.15270296678</v>
      </c>
      <c r="E76" s="7" t="s">
        <v>131</v>
      </c>
    </row>
    <row r="77" spans="1:5" x14ac:dyDescent="0.25">
      <c r="A77" s="32"/>
      <c r="B77" s="33"/>
      <c r="C77" s="8" t="s">
        <v>92</v>
      </c>
      <c r="D77" s="8">
        <f>D8</f>
        <v>45</v>
      </c>
      <c r="E77" s="9" t="s">
        <v>131</v>
      </c>
    </row>
    <row r="78" spans="1:5" x14ac:dyDescent="0.25">
      <c r="A78" s="32"/>
      <c r="B78" s="31" t="s">
        <v>94</v>
      </c>
      <c r="C78" s="12" t="s">
        <v>7</v>
      </c>
      <c r="D78" s="12">
        <f xml:space="preserve"> D84 - 4*2</f>
        <v>12</v>
      </c>
      <c r="E78" s="6" t="s">
        <v>0</v>
      </c>
    </row>
    <row r="79" spans="1:5" x14ac:dyDescent="0.25">
      <c r="A79" s="32"/>
      <c r="B79" s="32"/>
      <c r="C79" s="1" t="s">
        <v>10</v>
      </c>
      <c r="D79" s="1">
        <f>(D70+1+D60*2)/2</f>
        <v>7.75</v>
      </c>
      <c r="E79" s="7" t="s">
        <v>0</v>
      </c>
    </row>
    <row r="80" spans="1:5" x14ac:dyDescent="0.25">
      <c r="A80" s="32"/>
      <c r="B80" s="32"/>
      <c r="C80" s="1" t="s">
        <v>8</v>
      </c>
      <c r="D80" s="1">
        <f>D78+3</f>
        <v>15</v>
      </c>
      <c r="E80" s="7" t="s">
        <v>0</v>
      </c>
    </row>
    <row r="81" spans="1:5" x14ac:dyDescent="0.25">
      <c r="A81" s="32"/>
      <c r="B81" s="32"/>
      <c r="C81" s="1" t="s">
        <v>9</v>
      </c>
      <c r="D81" s="1">
        <f>D79</f>
        <v>7.75</v>
      </c>
      <c r="E81" s="7" t="s">
        <v>0</v>
      </c>
    </row>
    <row r="82" spans="1:5" x14ac:dyDescent="0.25">
      <c r="A82" s="33"/>
      <c r="B82" s="33"/>
      <c r="C82" s="13" t="s">
        <v>3</v>
      </c>
      <c r="D82" s="13">
        <v>0.5</v>
      </c>
      <c r="E82" s="9" t="s">
        <v>0</v>
      </c>
    </row>
    <row r="83" spans="1:5" x14ac:dyDescent="0.25">
      <c r="A83" s="31" t="s">
        <v>95</v>
      </c>
      <c r="B83" s="31" t="s">
        <v>99</v>
      </c>
      <c r="C83" s="5" t="s">
        <v>15</v>
      </c>
      <c r="D83" s="5">
        <v>42</v>
      </c>
      <c r="E83" s="6" t="s">
        <v>0</v>
      </c>
    </row>
    <row r="84" spans="1:5" ht="15" customHeight="1" x14ac:dyDescent="0.25">
      <c r="A84" s="32"/>
      <c r="B84" s="33"/>
      <c r="C84" s="13" t="s">
        <v>4</v>
      </c>
      <c r="D84" s="13">
        <v>20</v>
      </c>
      <c r="E84" s="9" t="s">
        <v>0</v>
      </c>
    </row>
    <row r="85" spans="1:5" x14ac:dyDescent="0.25">
      <c r="A85" s="32"/>
      <c r="B85" s="31" t="s">
        <v>96</v>
      </c>
      <c r="C85" s="10" t="s">
        <v>22</v>
      </c>
      <c r="D85" s="10">
        <v>4</v>
      </c>
      <c r="E85" s="6" t="s">
        <v>0</v>
      </c>
    </row>
    <row r="86" spans="1:5" x14ac:dyDescent="0.25">
      <c r="A86" s="32"/>
      <c r="B86" s="32"/>
      <c r="C86" s="11" t="s">
        <v>16</v>
      </c>
      <c r="D86" s="11">
        <v>2</v>
      </c>
      <c r="E86" s="7" t="s">
        <v>0</v>
      </c>
    </row>
    <row r="87" spans="1:5" x14ac:dyDescent="0.25">
      <c r="A87" s="32"/>
      <c r="B87" s="32"/>
      <c r="C87" s="2" t="s">
        <v>17</v>
      </c>
      <c r="D87" s="2">
        <v>2</v>
      </c>
      <c r="E87" s="7" t="s">
        <v>0</v>
      </c>
    </row>
    <row r="88" spans="1:5" x14ac:dyDescent="0.25">
      <c r="A88" s="32"/>
      <c r="B88" s="32"/>
      <c r="C88" s="11" t="s">
        <v>18</v>
      </c>
      <c r="D88" s="11">
        <f>4+2*D61</f>
        <v>6</v>
      </c>
      <c r="E88" s="7" t="s">
        <v>0</v>
      </c>
    </row>
    <row r="89" spans="1:5" x14ac:dyDescent="0.25">
      <c r="A89" s="32"/>
      <c r="B89" s="32"/>
      <c r="C89" s="2" t="s">
        <v>20</v>
      </c>
      <c r="D89" s="2">
        <v>60</v>
      </c>
      <c r="E89" s="7" t="s">
        <v>131</v>
      </c>
    </row>
    <row r="90" spans="1:5" x14ac:dyDescent="0.25">
      <c r="A90" s="32"/>
      <c r="B90" s="32"/>
      <c r="C90" s="11" t="s">
        <v>19</v>
      </c>
      <c r="D90" s="11">
        <v>1</v>
      </c>
      <c r="E90" s="7" t="s">
        <v>0</v>
      </c>
    </row>
    <row r="91" spans="1:5" x14ac:dyDescent="0.25">
      <c r="A91" s="32"/>
      <c r="B91" s="32"/>
      <c r="C91" s="1" t="s">
        <v>84</v>
      </c>
      <c r="D91" s="1">
        <v>37</v>
      </c>
      <c r="E91" s="7" t="s">
        <v>0</v>
      </c>
    </row>
    <row r="92" spans="1:5" x14ac:dyDescent="0.25">
      <c r="A92" s="32"/>
      <c r="B92" s="33"/>
      <c r="C92" s="8" t="s">
        <v>21</v>
      </c>
      <c r="D92" s="8">
        <f>(D84/2)*(1-COS(D89*PI()/180))</f>
        <v>4.9999999999999991</v>
      </c>
      <c r="E92" s="9" t="s">
        <v>0</v>
      </c>
    </row>
    <row r="93" spans="1:5" x14ac:dyDescent="0.25">
      <c r="A93" s="32"/>
      <c r="B93" s="31" t="s">
        <v>97</v>
      </c>
      <c r="C93" s="5" t="s">
        <v>42</v>
      </c>
      <c r="D93" s="5">
        <v>250</v>
      </c>
      <c r="E93" s="6" t="s">
        <v>0</v>
      </c>
    </row>
    <row r="94" spans="1:5" ht="15" customHeight="1" x14ac:dyDescent="0.25">
      <c r="A94" s="32"/>
      <c r="B94" s="32"/>
      <c r="C94" s="2" t="s">
        <v>5</v>
      </c>
      <c r="D94" s="2">
        <v>110</v>
      </c>
      <c r="E94" s="7" t="s">
        <v>0</v>
      </c>
    </row>
    <row r="95" spans="1:5" x14ac:dyDescent="0.25">
      <c r="A95" s="33"/>
      <c r="B95" s="33"/>
      <c r="C95" s="2" t="s">
        <v>6</v>
      </c>
      <c r="D95" s="2">
        <v>30</v>
      </c>
      <c r="E95" s="7" t="s">
        <v>0</v>
      </c>
    </row>
    <row r="96" spans="1:5" x14ac:dyDescent="0.25">
      <c r="A96" s="29" t="s">
        <v>116</v>
      </c>
      <c r="B96" s="30"/>
      <c r="C96" s="14" t="s">
        <v>93</v>
      </c>
      <c r="D96" s="14">
        <v>2.2999999999999998</v>
      </c>
      <c r="E96" s="15" t="s">
        <v>0</v>
      </c>
    </row>
    <row r="97" spans="1:8" ht="15" customHeight="1" x14ac:dyDescent="0.25">
      <c r="A97" s="34" t="s">
        <v>98</v>
      </c>
      <c r="B97" s="34" t="s">
        <v>63</v>
      </c>
      <c r="C97" s="19" t="s">
        <v>72</v>
      </c>
      <c r="D97" s="12">
        <f>D20</f>
        <v>8</v>
      </c>
      <c r="E97" s="6" t="s">
        <v>0</v>
      </c>
    </row>
    <row r="98" spans="1:8" ht="30" customHeight="1" x14ac:dyDescent="0.25">
      <c r="A98" s="38"/>
      <c r="B98" s="38"/>
      <c r="C98" s="20" t="s">
        <v>69</v>
      </c>
      <c r="D98" s="1">
        <f>D27</f>
        <v>1.0594933286819463</v>
      </c>
      <c r="E98" s="7" t="s">
        <v>0</v>
      </c>
    </row>
    <row r="99" spans="1:8" x14ac:dyDescent="0.25">
      <c r="A99" s="38"/>
      <c r="B99" s="38"/>
      <c r="C99" s="20" t="s">
        <v>77</v>
      </c>
      <c r="D99" s="1">
        <f>D29</f>
        <v>2.2999999999999998</v>
      </c>
      <c r="E99" s="7" t="s">
        <v>0</v>
      </c>
    </row>
    <row r="100" spans="1:8" x14ac:dyDescent="0.25">
      <c r="A100" s="38"/>
      <c r="B100" s="38"/>
      <c r="C100" s="20" t="s">
        <v>75</v>
      </c>
      <c r="D100" s="1">
        <f>D30</f>
        <v>1.4499999999999993</v>
      </c>
      <c r="E100" s="7" t="s">
        <v>0</v>
      </c>
    </row>
    <row r="101" spans="1:8" x14ac:dyDescent="0.25">
      <c r="A101" s="38"/>
      <c r="B101" s="38"/>
      <c r="C101" s="20" t="s">
        <v>76</v>
      </c>
      <c r="D101" s="1">
        <f>D31</f>
        <v>6.4499999999999993</v>
      </c>
      <c r="E101" s="7" t="s">
        <v>0</v>
      </c>
    </row>
    <row r="102" spans="1:8" x14ac:dyDescent="0.25">
      <c r="A102" s="38"/>
      <c r="B102" s="38"/>
      <c r="C102" s="20" t="s">
        <v>85</v>
      </c>
      <c r="D102" s="1">
        <f>D32</f>
        <v>186.05</v>
      </c>
      <c r="E102" s="7" t="s">
        <v>0</v>
      </c>
    </row>
    <row r="103" spans="1:8" x14ac:dyDescent="0.25">
      <c r="A103" s="38"/>
      <c r="B103" s="26" t="s">
        <v>101</v>
      </c>
      <c r="C103" s="17" t="s">
        <v>102</v>
      </c>
      <c r="D103" s="18">
        <f>D61*2+D99/2+D101+D102+D64</f>
        <v>201.65</v>
      </c>
      <c r="E103" s="15" t="s">
        <v>0</v>
      </c>
    </row>
    <row r="104" spans="1:8" x14ac:dyDescent="0.25">
      <c r="A104" s="38"/>
      <c r="B104" s="31" t="s">
        <v>164</v>
      </c>
      <c r="C104" s="19" t="s">
        <v>165</v>
      </c>
      <c r="D104" s="12">
        <v>1</v>
      </c>
      <c r="E104" s="6" t="s">
        <v>0</v>
      </c>
    </row>
    <row r="105" spans="1:8" x14ac:dyDescent="0.25">
      <c r="A105" s="38"/>
      <c r="B105" s="32"/>
      <c r="C105" s="20" t="s">
        <v>166</v>
      </c>
      <c r="D105" s="1">
        <v>6</v>
      </c>
      <c r="E105" s="7" t="s">
        <v>0</v>
      </c>
    </row>
    <row r="106" spans="1:8" x14ac:dyDescent="0.25">
      <c r="A106" s="36"/>
      <c r="B106" s="33"/>
      <c r="C106" s="27" t="s">
        <v>167</v>
      </c>
      <c r="D106" s="8">
        <v>28</v>
      </c>
      <c r="E106" s="9" t="s">
        <v>0</v>
      </c>
    </row>
    <row r="107" spans="1:8" ht="15" customHeight="1" x14ac:dyDescent="0.25">
      <c r="A107" s="34" t="s">
        <v>51</v>
      </c>
      <c r="B107" s="40"/>
      <c r="C107" s="20" t="s">
        <v>103</v>
      </c>
      <c r="D107" s="1">
        <f>D34*10</f>
        <v>2</v>
      </c>
      <c r="E107" s="7" t="s">
        <v>0</v>
      </c>
    </row>
    <row r="108" spans="1:8" ht="15" customHeight="1" x14ac:dyDescent="0.25">
      <c r="A108" s="38"/>
      <c r="B108" s="41"/>
      <c r="C108" s="20" t="s">
        <v>109</v>
      </c>
      <c r="D108" s="1">
        <f>D36</f>
        <v>107</v>
      </c>
      <c r="E108" s="7" t="s">
        <v>131</v>
      </c>
    </row>
    <row r="109" spans="1:8" x14ac:dyDescent="0.25">
      <c r="A109" s="38"/>
      <c r="B109" s="41"/>
      <c r="C109" s="20" t="s">
        <v>108</v>
      </c>
      <c r="D109" s="1">
        <f>D43*10</f>
        <v>28.000000000000004</v>
      </c>
      <c r="E109" s="7" t="s">
        <v>0</v>
      </c>
    </row>
    <row r="110" spans="1:8" x14ac:dyDescent="0.25">
      <c r="A110" s="38"/>
      <c r="B110" s="41"/>
      <c r="C110" s="20" t="s">
        <v>137</v>
      </c>
      <c r="D110" s="1">
        <f>D47*10</f>
        <v>9</v>
      </c>
      <c r="E110" s="7" t="s">
        <v>0</v>
      </c>
      <c r="F110" t="s">
        <v>138</v>
      </c>
      <c r="H110">
        <f>D98+D61*2+D118/2</f>
        <v>8.0594933286819455</v>
      </c>
    </row>
    <row r="111" spans="1:8" x14ac:dyDescent="0.25">
      <c r="A111" s="38"/>
      <c r="B111" s="41"/>
      <c r="C111" s="20" t="s">
        <v>135</v>
      </c>
      <c r="D111" s="1">
        <f>D49*10</f>
        <v>17</v>
      </c>
      <c r="E111" s="7" t="s">
        <v>0</v>
      </c>
      <c r="F111" t="s">
        <v>139</v>
      </c>
    </row>
    <row r="112" spans="1:8" x14ac:dyDescent="0.25">
      <c r="A112" s="38"/>
      <c r="B112" s="41"/>
      <c r="C112" s="20" t="s">
        <v>110</v>
      </c>
      <c r="D112" s="1">
        <f>D39</f>
        <v>-30</v>
      </c>
      <c r="E112" s="7" t="s">
        <v>131</v>
      </c>
    </row>
    <row r="113" spans="1:6" x14ac:dyDescent="0.25">
      <c r="A113" s="38"/>
      <c r="B113" s="41"/>
      <c r="C113" s="20" t="s">
        <v>111</v>
      </c>
      <c r="D113" s="1">
        <f>D45*10</f>
        <v>19.75</v>
      </c>
      <c r="E113" s="7" t="s">
        <v>0</v>
      </c>
    </row>
    <row r="114" spans="1:6" x14ac:dyDescent="0.25">
      <c r="A114" s="38"/>
      <c r="B114" s="41"/>
      <c r="C114" s="20" t="s">
        <v>112</v>
      </c>
      <c r="D114" s="1">
        <f>D37</f>
        <v>15</v>
      </c>
      <c r="E114" s="7" t="s">
        <v>131</v>
      </c>
    </row>
    <row r="115" spans="1:6" x14ac:dyDescent="0.25">
      <c r="A115" s="38"/>
      <c r="B115" s="41"/>
      <c r="C115" s="21" t="s">
        <v>113</v>
      </c>
      <c r="D115" s="1">
        <f>D40</f>
        <v>-60</v>
      </c>
      <c r="E115" s="7" t="s">
        <v>131</v>
      </c>
    </row>
    <row r="116" spans="1:6" x14ac:dyDescent="0.25">
      <c r="A116" s="38"/>
      <c r="B116" s="41"/>
      <c r="C116" s="20" t="s">
        <v>78</v>
      </c>
      <c r="D116" s="1">
        <f>D50*10</f>
        <v>6</v>
      </c>
      <c r="E116" s="7" t="s">
        <v>0</v>
      </c>
    </row>
    <row r="117" spans="1:6" x14ac:dyDescent="0.25">
      <c r="A117" s="38"/>
      <c r="B117" s="41"/>
      <c r="C117" s="20" t="s">
        <v>82</v>
      </c>
      <c r="D117" s="1">
        <f>D51*10</f>
        <v>8</v>
      </c>
      <c r="E117" s="7" t="s">
        <v>0</v>
      </c>
    </row>
    <row r="118" spans="1:6" x14ac:dyDescent="0.25">
      <c r="A118" s="38"/>
      <c r="B118" s="41"/>
      <c r="C118" s="20" t="s">
        <v>83</v>
      </c>
      <c r="D118" s="1">
        <f>D52*10</f>
        <v>10</v>
      </c>
      <c r="E118" s="7" t="s">
        <v>0</v>
      </c>
    </row>
    <row r="119" spans="1:6" x14ac:dyDescent="0.25">
      <c r="A119" s="38"/>
      <c r="B119" s="41"/>
      <c r="C119" s="20" t="s">
        <v>114</v>
      </c>
      <c r="D119" s="1">
        <f>D54*10</f>
        <v>25.2</v>
      </c>
      <c r="E119" s="7" t="s">
        <v>0</v>
      </c>
    </row>
    <row r="120" spans="1:6" x14ac:dyDescent="0.25">
      <c r="A120" s="38"/>
      <c r="B120" s="41"/>
      <c r="C120" s="20" t="s">
        <v>115</v>
      </c>
      <c r="D120" s="1">
        <f>D56*10</f>
        <v>20</v>
      </c>
      <c r="E120" s="7" t="s">
        <v>0</v>
      </c>
    </row>
    <row r="121" spans="1:6" x14ac:dyDescent="0.25">
      <c r="A121" s="36"/>
      <c r="B121" s="42"/>
      <c r="C121" s="22" t="s">
        <v>119</v>
      </c>
      <c r="D121" s="13">
        <v>3.5</v>
      </c>
      <c r="E121" s="9" t="s">
        <v>0</v>
      </c>
    </row>
    <row r="122" spans="1:6" x14ac:dyDescent="0.25">
      <c r="A122" s="40" t="s">
        <v>107</v>
      </c>
      <c r="B122" s="43"/>
      <c r="C122" s="2" t="s">
        <v>117</v>
      </c>
      <c r="D122" s="2">
        <v>3</v>
      </c>
      <c r="E122" s="7" t="s">
        <v>0</v>
      </c>
    </row>
    <row r="123" spans="1:6" x14ac:dyDescent="0.25">
      <c r="A123" s="41"/>
      <c r="B123" s="43"/>
      <c r="C123" s="2" t="s">
        <v>118</v>
      </c>
      <c r="D123" s="2">
        <v>10</v>
      </c>
      <c r="E123" s="7" t="s">
        <v>0</v>
      </c>
    </row>
    <row r="124" spans="1:6" x14ac:dyDescent="0.25">
      <c r="A124" s="41"/>
      <c r="B124" s="43" t="s">
        <v>105</v>
      </c>
      <c r="C124" s="1" t="s">
        <v>104</v>
      </c>
      <c r="D124" s="1">
        <f>MROUND(D117/2+D119*SIN(D114*PI()/180)+D120*COS(D114*PI()/180), 0.4)</f>
        <v>30</v>
      </c>
      <c r="E124" s="7" t="s">
        <v>0</v>
      </c>
      <c r="F124" t="s">
        <v>130</v>
      </c>
    </row>
    <row r="125" spans="1:6" x14ac:dyDescent="0.25">
      <c r="A125" s="41"/>
      <c r="B125" s="43"/>
      <c r="C125" s="8" t="s">
        <v>106</v>
      </c>
      <c r="D125" s="8">
        <f>D122+D61</f>
        <v>4</v>
      </c>
      <c r="E125" s="9" t="s">
        <v>0</v>
      </c>
    </row>
    <row r="126" spans="1:6" x14ac:dyDescent="0.25">
      <c r="A126" s="41"/>
      <c r="B126" s="34" t="s">
        <v>129</v>
      </c>
      <c r="C126" s="5" t="s">
        <v>120</v>
      </c>
      <c r="D126" s="5">
        <v>4</v>
      </c>
      <c r="E126" s="6" t="s">
        <v>0</v>
      </c>
    </row>
    <row r="127" spans="1:6" x14ac:dyDescent="0.25">
      <c r="A127" s="41"/>
      <c r="B127" s="36"/>
      <c r="C127" s="8" t="s">
        <v>121</v>
      </c>
      <c r="D127" s="8">
        <f>D126+1.5*2</f>
        <v>7</v>
      </c>
      <c r="E127" s="9" t="s">
        <v>0</v>
      </c>
    </row>
    <row r="128" spans="1:6" x14ac:dyDescent="0.25">
      <c r="A128" s="4" t="s">
        <v>122</v>
      </c>
      <c r="C128" s="2" t="s">
        <v>123</v>
      </c>
      <c r="D128" s="2">
        <v>6</v>
      </c>
      <c r="E128" s="1" t="s">
        <v>0</v>
      </c>
    </row>
    <row r="129" spans="1:6" x14ac:dyDescent="0.25">
      <c r="C129" s="2" t="s">
        <v>124</v>
      </c>
      <c r="D129" s="2">
        <v>2</v>
      </c>
      <c r="E129" s="1" t="s">
        <v>0</v>
      </c>
    </row>
    <row r="130" spans="1:6" x14ac:dyDescent="0.25">
      <c r="C130" s="2" t="s">
        <v>128</v>
      </c>
      <c r="D130" s="2">
        <v>7</v>
      </c>
      <c r="E130" s="1" t="s">
        <v>0</v>
      </c>
    </row>
    <row r="131" spans="1:6" x14ac:dyDescent="0.25">
      <c r="C131" s="2" t="s">
        <v>126</v>
      </c>
      <c r="D131" s="2">
        <v>7</v>
      </c>
      <c r="E131" s="1" t="s">
        <v>0</v>
      </c>
    </row>
    <row r="132" spans="1:6" x14ac:dyDescent="0.25">
      <c r="C132" s="1" t="s">
        <v>127</v>
      </c>
      <c r="D132" s="1">
        <f>D131-2*(D133/TAN(77.3*PI()/180))</f>
        <v>4.7464026700315465</v>
      </c>
      <c r="E132" s="1" t="s">
        <v>0</v>
      </c>
      <c r="F132" t="s">
        <v>144</v>
      </c>
    </row>
    <row r="133" spans="1:6" x14ac:dyDescent="0.25">
      <c r="C133" s="2" t="s">
        <v>125</v>
      </c>
      <c r="D133" s="2">
        <v>5</v>
      </c>
      <c r="E133" s="1" t="s">
        <v>0</v>
      </c>
    </row>
    <row r="134" spans="1:6" ht="30" x14ac:dyDescent="0.25">
      <c r="A134" s="4" t="s">
        <v>145</v>
      </c>
      <c r="C134" s="2" t="s">
        <v>146</v>
      </c>
      <c r="D134" s="2">
        <v>9.5</v>
      </c>
      <c r="E134" s="1" t="s">
        <v>0</v>
      </c>
    </row>
    <row r="135" spans="1:6" x14ac:dyDescent="0.25">
      <c r="C135" s="2" t="s">
        <v>148</v>
      </c>
      <c r="D135" s="2">
        <v>3</v>
      </c>
      <c r="E135" s="1" t="s">
        <v>0</v>
      </c>
    </row>
    <row r="136" spans="1:6" x14ac:dyDescent="0.25">
      <c r="C136" s="2" t="s">
        <v>147</v>
      </c>
      <c r="D136" s="2">
        <v>3</v>
      </c>
      <c r="E136" s="1" t="s">
        <v>0</v>
      </c>
    </row>
    <row r="137" spans="1:6" x14ac:dyDescent="0.25">
      <c r="C137" s="1" t="s">
        <v>149</v>
      </c>
      <c r="D137" s="1">
        <f>2.5+D139</f>
        <v>4.5</v>
      </c>
      <c r="E137" s="1" t="s">
        <v>0</v>
      </c>
    </row>
    <row r="138" spans="1:6" x14ac:dyDescent="0.25">
      <c r="C138" s="1" t="s">
        <v>150</v>
      </c>
      <c r="D138" s="1">
        <v>0.25</v>
      </c>
      <c r="E138" s="1" t="s">
        <v>0</v>
      </c>
    </row>
    <row r="139" spans="1:6" x14ac:dyDescent="0.25">
      <c r="C139" s="2" t="s">
        <v>151</v>
      </c>
      <c r="D139" s="2">
        <v>2</v>
      </c>
      <c r="E139" s="1" t="s">
        <v>0</v>
      </c>
    </row>
    <row r="140" spans="1:6" x14ac:dyDescent="0.25">
      <c r="C140" s="2" t="s">
        <v>153</v>
      </c>
      <c r="D140" s="2">
        <v>45</v>
      </c>
      <c r="E140" s="1" t="s">
        <v>131</v>
      </c>
    </row>
    <row r="141" spans="1:6" x14ac:dyDescent="0.25">
      <c r="C141" s="2" t="s">
        <v>154</v>
      </c>
      <c r="D141" s="2">
        <v>5</v>
      </c>
      <c r="E141" s="1" t="s">
        <v>0</v>
      </c>
    </row>
    <row r="142" spans="1:6" x14ac:dyDescent="0.25">
      <c r="A142" s="4" t="s">
        <v>152</v>
      </c>
      <c r="C142" s="2" t="s">
        <v>155</v>
      </c>
      <c r="D142" s="2">
        <v>8</v>
      </c>
      <c r="E142" s="1" t="s">
        <v>0</v>
      </c>
    </row>
    <row r="143" spans="1:6" x14ac:dyDescent="0.25">
      <c r="C143" s="2" t="s">
        <v>156</v>
      </c>
      <c r="D143" s="2">
        <v>4</v>
      </c>
      <c r="E143" s="1" t="s">
        <v>0</v>
      </c>
    </row>
    <row r="144" spans="1:6" x14ac:dyDescent="0.25">
      <c r="C144" s="2" t="s">
        <v>157</v>
      </c>
      <c r="D144" s="2">
        <v>12</v>
      </c>
      <c r="E144" s="1" t="s">
        <v>0</v>
      </c>
    </row>
    <row r="145" spans="1:6" x14ac:dyDescent="0.25">
      <c r="C145" s="1" t="s">
        <v>158</v>
      </c>
      <c r="D145" s="1">
        <f>D142+D61</f>
        <v>9</v>
      </c>
      <c r="E145" s="1" t="s">
        <v>0</v>
      </c>
    </row>
    <row r="146" spans="1:6" x14ac:dyDescent="0.25">
      <c r="C146" s="1" t="s">
        <v>159</v>
      </c>
      <c r="D146" s="1">
        <f>D142+D61+D60*2</f>
        <v>13</v>
      </c>
      <c r="E146" s="1" t="s">
        <v>0</v>
      </c>
    </row>
    <row r="147" spans="1:6" x14ac:dyDescent="0.25">
      <c r="A147" s="4" t="s">
        <v>160</v>
      </c>
      <c r="C147" s="1" t="s">
        <v>161</v>
      </c>
      <c r="D147" s="1">
        <f>D148+D60</f>
        <v>6</v>
      </c>
      <c r="E147" s="1" t="s">
        <v>0</v>
      </c>
    </row>
    <row r="148" spans="1:6" x14ac:dyDescent="0.25">
      <c r="C148" s="2" t="s">
        <v>162</v>
      </c>
      <c r="D148" s="2">
        <v>4</v>
      </c>
      <c r="E148" s="1" t="s">
        <v>0</v>
      </c>
    </row>
    <row r="149" spans="1:6" x14ac:dyDescent="0.25">
      <c r="C149" s="2" t="s">
        <v>163</v>
      </c>
      <c r="D149" s="2">
        <v>6</v>
      </c>
      <c r="E149" s="1" t="s">
        <v>0</v>
      </c>
    </row>
    <row r="150" spans="1:6" ht="30" x14ac:dyDescent="0.25">
      <c r="A150" s="4" t="s">
        <v>172</v>
      </c>
      <c r="B150" s="4" t="s">
        <v>177</v>
      </c>
      <c r="C150" s="1" t="s">
        <v>173</v>
      </c>
      <c r="D150" s="2">
        <v>77</v>
      </c>
      <c r="E150" s="1" t="s">
        <v>0</v>
      </c>
    </row>
    <row r="151" spans="1:6" x14ac:dyDescent="0.25">
      <c r="C151" s="1" t="s">
        <v>174</v>
      </c>
      <c r="D151" s="2">
        <f>55+8.5*2</f>
        <v>72</v>
      </c>
      <c r="E151" s="1" t="s">
        <v>0</v>
      </c>
    </row>
    <row r="152" spans="1:6" x14ac:dyDescent="0.25">
      <c r="C152" s="1" t="s">
        <v>175</v>
      </c>
      <c r="D152" s="2">
        <v>35</v>
      </c>
      <c r="E152" s="1" t="s">
        <v>0</v>
      </c>
      <c r="F152" t="s">
        <v>187</v>
      </c>
    </row>
    <row r="153" spans="1:6" x14ac:dyDescent="0.25">
      <c r="C153" s="1" t="s">
        <v>176</v>
      </c>
      <c r="D153" s="2">
        <f>(D60/2)*1.5</f>
        <v>1.5</v>
      </c>
      <c r="E153" s="1" t="s">
        <v>0</v>
      </c>
    </row>
    <row r="154" spans="1:6" x14ac:dyDescent="0.25">
      <c r="B154" s="4" t="s">
        <v>179</v>
      </c>
      <c r="C154" s="1" t="s">
        <v>178</v>
      </c>
      <c r="D154" s="1">
        <f>0.5*(D150+2*D153)</f>
        <v>40</v>
      </c>
      <c r="E154" s="1" t="s">
        <v>0</v>
      </c>
    </row>
    <row r="155" spans="1:6" x14ac:dyDescent="0.25">
      <c r="C155" s="1" t="s">
        <v>180</v>
      </c>
      <c r="D155" s="2">
        <v>10</v>
      </c>
      <c r="E155" s="1" t="s">
        <v>0</v>
      </c>
    </row>
    <row r="156" spans="1:6" x14ac:dyDescent="0.25">
      <c r="C156" s="1" t="s">
        <v>183</v>
      </c>
      <c r="D156" s="2">
        <v>30</v>
      </c>
      <c r="E156" s="1" t="s">
        <v>0</v>
      </c>
    </row>
    <row r="157" spans="1:6" x14ac:dyDescent="0.25">
      <c r="C157" s="1" t="s">
        <v>181</v>
      </c>
      <c r="D157" s="1">
        <f>D150+D153*2+D154</f>
        <v>120</v>
      </c>
      <c r="E157" s="1" t="s">
        <v>0</v>
      </c>
    </row>
    <row r="158" spans="1:6" x14ac:dyDescent="0.25">
      <c r="B158" s="4" t="s">
        <v>189</v>
      </c>
      <c r="C158" s="1" t="s">
        <v>182</v>
      </c>
      <c r="D158" s="1">
        <f>D157-D60*2</f>
        <v>116</v>
      </c>
      <c r="E158" s="1" t="s">
        <v>0</v>
      </c>
    </row>
    <row r="159" spans="1:6" x14ac:dyDescent="0.25">
      <c r="C159" s="1" t="s">
        <v>185</v>
      </c>
      <c r="D159" s="1">
        <f>D158/3</f>
        <v>38.666666666666664</v>
      </c>
      <c r="E159" s="1" t="s">
        <v>0</v>
      </c>
    </row>
    <row r="160" spans="1:6" x14ac:dyDescent="0.25">
      <c r="C160" s="1" t="s">
        <v>186</v>
      </c>
      <c r="D160" s="2">
        <v>60</v>
      </c>
      <c r="E160" s="1" t="s">
        <v>131</v>
      </c>
    </row>
    <row r="161" spans="2:5" x14ac:dyDescent="0.25">
      <c r="C161" s="1" t="s">
        <v>184</v>
      </c>
      <c r="D161" s="1">
        <f>MROUND(D154+D162*TAN(D160*PI()/180)+D159/2+4,1)</f>
        <v>67</v>
      </c>
      <c r="E161" s="1" t="s">
        <v>0</v>
      </c>
    </row>
    <row r="162" spans="2:5" x14ac:dyDescent="0.25">
      <c r="C162" s="1" t="s">
        <v>190</v>
      </c>
      <c r="D162" s="2">
        <v>2</v>
      </c>
      <c r="E162" s="1" t="s">
        <v>0</v>
      </c>
    </row>
    <row r="163" spans="2:5" x14ac:dyDescent="0.25">
      <c r="C163" s="1" t="s">
        <v>191</v>
      </c>
      <c r="D163" s="1">
        <f>D162+D153</f>
        <v>3.5</v>
      </c>
      <c r="E163" s="1" t="s">
        <v>0</v>
      </c>
    </row>
    <row r="164" spans="2:5" x14ac:dyDescent="0.25">
      <c r="C164" s="1" t="s">
        <v>192</v>
      </c>
      <c r="D164" s="2">
        <v>2</v>
      </c>
      <c r="E164" s="1" t="s">
        <v>0</v>
      </c>
    </row>
    <row r="165" spans="2:5" x14ac:dyDescent="0.25">
      <c r="C165" s="1" t="s">
        <v>193</v>
      </c>
      <c r="D165" s="2">
        <v>1.5</v>
      </c>
      <c r="E165" s="1" t="s">
        <v>0</v>
      </c>
    </row>
    <row r="166" spans="2:5" x14ac:dyDescent="0.25">
      <c r="B166" s="4" t="s">
        <v>188</v>
      </c>
      <c r="C166" s="1" t="s">
        <v>197</v>
      </c>
      <c r="D166" s="2">
        <v>1.5</v>
      </c>
      <c r="E166" s="1" t="s">
        <v>0</v>
      </c>
    </row>
    <row r="167" spans="2:5" x14ac:dyDescent="0.25">
      <c r="C167" s="1" t="s">
        <v>198</v>
      </c>
      <c r="D167" s="2">
        <v>2.5</v>
      </c>
      <c r="E167" s="1" t="s">
        <v>0</v>
      </c>
    </row>
    <row r="168" spans="2:5" x14ac:dyDescent="0.25">
      <c r="C168" s="1" t="s">
        <v>199</v>
      </c>
      <c r="D168" s="2">
        <v>60</v>
      </c>
      <c r="E168" s="1" t="s">
        <v>131</v>
      </c>
    </row>
    <row r="169" spans="2:5" x14ac:dyDescent="0.25">
      <c r="C169" s="1" t="s">
        <v>200</v>
      </c>
      <c r="D169" s="2">
        <v>45</v>
      </c>
      <c r="E169" s="1" t="s">
        <v>131</v>
      </c>
    </row>
    <row r="170" spans="2:5" x14ac:dyDescent="0.25">
      <c r="B170" s="4" t="s">
        <v>194</v>
      </c>
      <c r="C170" s="1" t="s">
        <v>195</v>
      </c>
      <c r="D170" s="2">
        <v>60</v>
      </c>
      <c r="E170" s="1" t="s">
        <v>131</v>
      </c>
    </row>
    <row r="171" spans="2:5" x14ac:dyDescent="0.25">
      <c r="C171" s="1" t="s">
        <v>196</v>
      </c>
      <c r="D171" s="2">
        <v>4</v>
      </c>
      <c r="E171" s="1" t="s">
        <v>0</v>
      </c>
    </row>
    <row r="172" spans="2:5" x14ac:dyDescent="0.25">
      <c r="C172" s="1" t="s">
        <v>201</v>
      </c>
      <c r="D172" s="1">
        <f>D154+D162*TAN(D160*PI()/180)+D159</f>
        <v>82.130768281804421</v>
      </c>
      <c r="E172" s="1" t="s">
        <v>0</v>
      </c>
    </row>
  </sheetData>
  <mergeCells count="20">
    <mergeCell ref="A96:B96"/>
    <mergeCell ref="A107:B121"/>
    <mergeCell ref="A122:A127"/>
    <mergeCell ref="B126:B127"/>
    <mergeCell ref="B122:B123"/>
    <mergeCell ref="B124:B125"/>
    <mergeCell ref="B97:B102"/>
    <mergeCell ref="B104:B106"/>
    <mergeCell ref="A97:A106"/>
    <mergeCell ref="A59:B59"/>
    <mergeCell ref="B66:B70"/>
    <mergeCell ref="A60:B61"/>
    <mergeCell ref="B93:B95"/>
    <mergeCell ref="B85:B92"/>
    <mergeCell ref="B83:B84"/>
    <mergeCell ref="B71:B77"/>
    <mergeCell ref="B78:B82"/>
    <mergeCell ref="A62:B65"/>
    <mergeCell ref="A83:A95"/>
    <mergeCell ref="A66:A82"/>
  </mergeCells>
  <phoneticPr fontId="1" type="noConversion"/>
  <conditionalFormatting sqref="A62 A60 B66 B71 B93 B85 B78 B83">
    <cfRule type="duplicateValues" dxfId="0" priority="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 Véliz</cp:lastModifiedBy>
  <dcterms:created xsi:type="dcterms:W3CDTF">2023-07-25T09:03:52Z</dcterms:created>
  <dcterms:modified xsi:type="dcterms:W3CDTF">2023-09-02T10:57:12Z</dcterms:modified>
</cp:coreProperties>
</file>