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vggt-my.sharepoint.com/personal/vas161259_uvg_edu_gt/Documents/UVG/12vo Semestre/MECANISMOS/PROYECTO 2/"/>
    </mc:Choice>
  </mc:AlternateContent>
  <xr:revisionPtr revIDLastSave="647" documentId="8_{A2D06ABC-6893-4CFA-B435-5DA208E1A43D}" xr6:coauthVersionLast="47" xr6:coauthVersionMax="47" xr10:uidLastSave="{8292D67C-55EE-46D0-BB91-BA42F78FC56B}"/>
  <bookViews>
    <workbookView xWindow="-108" yWindow="-108" windowWidth="23256" windowHeight="13176" activeTab="4" xr2:uid="{34F65C8B-0BF5-4266-ADBD-868364C0EBE5}"/>
  </bookViews>
  <sheets>
    <sheet name="PRUEBA 1" sheetId="7" r:id="rId1"/>
    <sheet name="PRUEBA 2" sheetId="3" r:id="rId2"/>
    <sheet name="PRUEBA 3" sheetId="4" r:id="rId3"/>
    <sheet name="PRUEBA 4" sheetId="5" r:id="rId4"/>
    <sheet name="PRUEBA 5" sheetId="6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8" i="6" l="1"/>
  <c r="C58" i="6"/>
  <c r="B58" i="6"/>
  <c r="C46" i="6"/>
  <c r="B46" i="6"/>
  <c r="C57" i="6"/>
  <c r="B57" i="6"/>
  <c r="C45" i="6"/>
  <c r="B45" i="6"/>
  <c r="C56" i="6"/>
  <c r="B56" i="6"/>
  <c r="C44" i="6"/>
  <c r="D17" i="6"/>
  <c r="D19" i="6"/>
  <c r="C58" i="5"/>
  <c r="C46" i="5"/>
  <c r="B46" i="5"/>
  <c r="C57" i="5"/>
  <c r="B57" i="5"/>
  <c r="C45" i="5"/>
  <c r="B45" i="5"/>
  <c r="C56" i="5"/>
  <c r="F56" i="5" s="1"/>
  <c r="E56" i="5" s="1"/>
  <c r="B56" i="5"/>
  <c r="C44" i="5"/>
  <c r="B44" i="5"/>
  <c r="M58" i="6"/>
  <c r="L58" i="6"/>
  <c r="M57" i="6"/>
  <c r="L57" i="6"/>
  <c r="N57" i="6" s="1"/>
  <c r="M56" i="6"/>
  <c r="F56" i="6"/>
  <c r="E56" i="6" s="1"/>
  <c r="L56" i="6"/>
  <c r="N56" i="6" s="1"/>
  <c r="M58" i="5"/>
  <c r="M57" i="5"/>
  <c r="L57" i="5"/>
  <c r="M56" i="5"/>
  <c r="L56" i="5"/>
  <c r="D17" i="5"/>
  <c r="D19" i="5"/>
  <c r="C58" i="4"/>
  <c r="F58" i="4" s="1"/>
  <c r="E58" i="4" s="1"/>
  <c r="B58" i="4"/>
  <c r="C46" i="4"/>
  <c r="B46" i="4"/>
  <c r="C57" i="4"/>
  <c r="B57" i="4"/>
  <c r="C45" i="4"/>
  <c r="B45" i="4"/>
  <c r="C56" i="4"/>
  <c r="B56" i="4"/>
  <c r="C44" i="4"/>
  <c r="B44" i="4"/>
  <c r="D17" i="4"/>
  <c r="D19" i="7"/>
  <c r="C58" i="3"/>
  <c r="B58" i="3"/>
  <c r="B46" i="3"/>
  <c r="C57" i="3"/>
  <c r="B57" i="3"/>
  <c r="C45" i="3"/>
  <c r="B45" i="3"/>
  <c r="D19" i="3"/>
  <c r="D17" i="3"/>
  <c r="C56" i="3"/>
  <c r="B56" i="3"/>
  <c r="B44" i="3"/>
  <c r="F44" i="3" s="1"/>
  <c r="E44" i="3" s="1"/>
  <c r="C58" i="7"/>
  <c r="M58" i="7" s="1"/>
  <c r="B58" i="7"/>
  <c r="D58" i="7" s="1"/>
  <c r="B46" i="7"/>
  <c r="L46" i="7" s="1"/>
  <c r="C57" i="7"/>
  <c r="C45" i="7"/>
  <c r="B45" i="7"/>
  <c r="L45" i="7" s="1"/>
  <c r="D17" i="7"/>
  <c r="C56" i="7"/>
  <c r="B56" i="7"/>
  <c r="F56" i="7" s="1"/>
  <c r="E56" i="7" s="1"/>
  <c r="C44" i="7"/>
  <c r="M44" i="7" s="1"/>
  <c r="B44" i="7"/>
  <c r="L44" i="7" s="1"/>
  <c r="L57" i="7"/>
  <c r="M57" i="7"/>
  <c r="M56" i="7"/>
  <c r="D56" i="7"/>
  <c r="M46" i="7"/>
  <c r="F45" i="7"/>
  <c r="E45" i="7" s="1"/>
  <c r="M45" i="7"/>
  <c r="C30" i="7"/>
  <c r="B30" i="7"/>
  <c r="C27" i="7"/>
  <c r="B27" i="7" s="1"/>
  <c r="C26" i="7"/>
  <c r="B26" i="7" s="1"/>
  <c r="D18" i="7"/>
  <c r="D16" i="7"/>
  <c r="C12" i="7"/>
  <c r="C11" i="7"/>
  <c r="B36" i="7" s="1"/>
  <c r="C10" i="7"/>
  <c r="I8" i="7" s="1"/>
  <c r="F9" i="7"/>
  <c r="F8" i="7"/>
  <c r="F7" i="7"/>
  <c r="L6" i="7"/>
  <c r="F6" i="7"/>
  <c r="L5" i="7"/>
  <c r="F5" i="7"/>
  <c r="C12" i="6"/>
  <c r="C11" i="6"/>
  <c r="M36" i="6" s="1"/>
  <c r="M40" i="6" s="1"/>
  <c r="C12" i="5"/>
  <c r="C11" i="5"/>
  <c r="L36" i="5" s="1"/>
  <c r="L40" i="5" s="1"/>
  <c r="C12" i="4"/>
  <c r="C11" i="4"/>
  <c r="M36" i="4" s="1"/>
  <c r="M40" i="4" s="1"/>
  <c r="C12" i="3"/>
  <c r="C11" i="3"/>
  <c r="M36" i="3" s="1"/>
  <c r="L58" i="4"/>
  <c r="M57" i="4"/>
  <c r="P57" i="4" s="1"/>
  <c r="O57" i="4" s="1"/>
  <c r="L57" i="4"/>
  <c r="F57" i="4"/>
  <c r="E57" i="4" s="1"/>
  <c r="D57" i="4"/>
  <c r="M56" i="4"/>
  <c r="L56" i="4"/>
  <c r="F56" i="4"/>
  <c r="E56" i="4" s="1"/>
  <c r="D56" i="4"/>
  <c r="N58" i="3"/>
  <c r="M58" i="3"/>
  <c r="P58" i="3" s="1"/>
  <c r="O58" i="3" s="1"/>
  <c r="L58" i="3"/>
  <c r="F58" i="3"/>
  <c r="E58" i="3" s="1"/>
  <c r="D58" i="3"/>
  <c r="M57" i="3"/>
  <c r="L57" i="3"/>
  <c r="F57" i="3"/>
  <c r="E57" i="3" s="1"/>
  <c r="D57" i="3"/>
  <c r="M56" i="3"/>
  <c r="L56" i="3"/>
  <c r="F56" i="3"/>
  <c r="E56" i="3" s="1"/>
  <c r="D56" i="3"/>
  <c r="M46" i="6"/>
  <c r="L46" i="6"/>
  <c r="F46" i="6"/>
  <c r="E46" i="6" s="1"/>
  <c r="D46" i="6"/>
  <c r="M45" i="6"/>
  <c r="L45" i="6"/>
  <c r="F45" i="6"/>
  <c r="E45" i="6" s="1"/>
  <c r="D45" i="6"/>
  <c r="M44" i="6"/>
  <c r="L44" i="6"/>
  <c r="F44" i="6"/>
  <c r="E44" i="6" s="1"/>
  <c r="D44" i="6"/>
  <c r="C30" i="6"/>
  <c r="B30" i="6"/>
  <c r="C27" i="6"/>
  <c r="B27" i="6" s="1"/>
  <c r="C26" i="6"/>
  <c r="B26" i="6" s="1"/>
  <c r="D18" i="6"/>
  <c r="D16" i="6"/>
  <c r="C10" i="6"/>
  <c r="F9" i="6"/>
  <c r="F8" i="6"/>
  <c r="F7" i="6"/>
  <c r="L6" i="6"/>
  <c r="F6" i="6"/>
  <c r="L5" i="6"/>
  <c r="L8" i="6" s="1"/>
  <c r="F5" i="6"/>
  <c r="M46" i="5"/>
  <c r="L46" i="5"/>
  <c r="N46" i="5" s="1"/>
  <c r="F46" i="5"/>
  <c r="E46" i="5" s="1"/>
  <c r="D46" i="5"/>
  <c r="M45" i="5"/>
  <c r="L45" i="5"/>
  <c r="P45" i="5" s="1"/>
  <c r="O45" i="5" s="1"/>
  <c r="F45" i="5"/>
  <c r="E45" i="5" s="1"/>
  <c r="D45" i="5"/>
  <c r="M44" i="5"/>
  <c r="L44" i="5"/>
  <c r="F44" i="5"/>
  <c r="E44" i="5" s="1"/>
  <c r="D44" i="5"/>
  <c r="C30" i="5"/>
  <c r="B30" i="5"/>
  <c r="C27" i="5"/>
  <c r="B27" i="5" s="1"/>
  <c r="C26" i="5"/>
  <c r="B26" i="5" s="1"/>
  <c r="D18" i="5"/>
  <c r="D16" i="5"/>
  <c r="C10" i="5"/>
  <c r="I5" i="5" s="1"/>
  <c r="F9" i="5"/>
  <c r="F8" i="5"/>
  <c r="F7" i="5"/>
  <c r="L6" i="5"/>
  <c r="F6" i="5"/>
  <c r="L5" i="5"/>
  <c r="F5" i="5"/>
  <c r="M46" i="4"/>
  <c r="L46" i="4"/>
  <c r="F46" i="4"/>
  <c r="E46" i="4" s="1"/>
  <c r="D46" i="4"/>
  <c r="M45" i="4"/>
  <c r="L45" i="4"/>
  <c r="F45" i="4"/>
  <c r="E45" i="4" s="1"/>
  <c r="D45" i="4"/>
  <c r="M44" i="4"/>
  <c r="L44" i="4"/>
  <c r="F44" i="4"/>
  <c r="E44" i="4" s="1"/>
  <c r="D44" i="4"/>
  <c r="C30" i="4"/>
  <c r="B30" i="4"/>
  <c r="C27" i="4"/>
  <c r="B27" i="4" s="1"/>
  <c r="C26" i="4"/>
  <c r="B26" i="4" s="1"/>
  <c r="D18" i="4"/>
  <c r="D16" i="4"/>
  <c r="C10" i="4"/>
  <c r="F9" i="4"/>
  <c r="F8" i="4"/>
  <c r="F7" i="4"/>
  <c r="L6" i="4"/>
  <c r="F6" i="4"/>
  <c r="L5" i="4"/>
  <c r="F5" i="4"/>
  <c r="M46" i="3"/>
  <c r="L46" i="3"/>
  <c r="F46" i="3"/>
  <c r="E46" i="3" s="1"/>
  <c r="D46" i="3"/>
  <c r="M45" i="3"/>
  <c r="L45" i="3"/>
  <c r="N45" i="3" s="1"/>
  <c r="F45" i="3"/>
  <c r="E45" i="3" s="1"/>
  <c r="D45" i="3"/>
  <c r="M44" i="3"/>
  <c r="C30" i="3"/>
  <c r="B30" i="3"/>
  <c r="C27" i="3"/>
  <c r="B27" i="3" s="1"/>
  <c r="C26" i="3"/>
  <c r="B26" i="3" s="1"/>
  <c r="D18" i="3"/>
  <c r="D16" i="3"/>
  <c r="C10" i="3"/>
  <c r="F9" i="3"/>
  <c r="F8" i="3"/>
  <c r="F7" i="3"/>
  <c r="L6" i="3"/>
  <c r="F6" i="3"/>
  <c r="L5" i="3"/>
  <c r="L8" i="3" s="1"/>
  <c r="F5" i="3"/>
  <c r="F58" i="7" l="1"/>
  <c r="E58" i="7" s="1"/>
  <c r="D44" i="7"/>
  <c r="F44" i="7"/>
  <c r="E44" i="7" s="1"/>
  <c r="L58" i="7"/>
  <c r="P58" i="7" s="1"/>
  <c r="O58" i="7" s="1"/>
  <c r="D46" i="7"/>
  <c r="F46" i="7"/>
  <c r="E46" i="7" s="1"/>
  <c r="L7" i="7"/>
  <c r="L10" i="7" s="1"/>
  <c r="M36" i="7"/>
  <c r="M40" i="7" s="1"/>
  <c r="L56" i="7"/>
  <c r="N56" i="7" s="1"/>
  <c r="L8" i="7"/>
  <c r="N58" i="6"/>
  <c r="N58" i="5"/>
  <c r="N44" i="6"/>
  <c r="P58" i="5"/>
  <c r="O58" i="5" s="1"/>
  <c r="P57" i="5"/>
  <c r="O57" i="5" s="1"/>
  <c r="N57" i="5"/>
  <c r="P56" i="6"/>
  <c r="O56" i="6" s="1"/>
  <c r="P57" i="6"/>
  <c r="O57" i="6" s="1"/>
  <c r="P58" i="6"/>
  <c r="O58" i="6" s="1"/>
  <c r="D58" i="6"/>
  <c r="D57" i="6"/>
  <c r="F58" i="6"/>
  <c r="E58" i="6" s="1"/>
  <c r="D56" i="6"/>
  <c r="F57" i="6"/>
  <c r="E57" i="6" s="1"/>
  <c r="P56" i="5"/>
  <c r="O56" i="5" s="1"/>
  <c r="N56" i="5"/>
  <c r="D58" i="5"/>
  <c r="D57" i="5"/>
  <c r="F58" i="5"/>
  <c r="E58" i="5" s="1"/>
  <c r="D56" i="5"/>
  <c r="F57" i="5"/>
  <c r="E57" i="5" s="1"/>
  <c r="N44" i="5"/>
  <c r="P46" i="5"/>
  <c r="O46" i="5" s="1"/>
  <c r="P44" i="5"/>
  <c r="O44" i="5" s="1"/>
  <c r="C52" i="6"/>
  <c r="C36" i="5"/>
  <c r="C40" i="5" s="1"/>
  <c r="B36" i="5"/>
  <c r="D36" i="5" s="1"/>
  <c r="D40" i="5" s="1"/>
  <c r="M36" i="5"/>
  <c r="M40" i="5" s="1"/>
  <c r="I8" i="5"/>
  <c r="M58" i="4"/>
  <c r="N58" i="4"/>
  <c r="D58" i="4"/>
  <c r="P58" i="4"/>
  <c r="O58" i="4" s="1"/>
  <c r="N57" i="4"/>
  <c r="P45" i="4"/>
  <c r="O45" i="4" s="1"/>
  <c r="C52" i="4"/>
  <c r="B36" i="4"/>
  <c r="P46" i="3"/>
  <c r="O46" i="3" s="1"/>
  <c r="P57" i="3"/>
  <c r="O57" i="3" s="1"/>
  <c r="N57" i="3"/>
  <c r="P45" i="3"/>
  <c r="O45" i="3" s="1"/>
  <c r="D44" i="3"/>
  <c r="L44" i="3"/>
  <c r="N58" i="7"/>
  <c r="N44" i="7"/>
  <c r="N46" i="7"/>
  <c r="P46" i="7"/>
  <c r="O46" i="7" s="1"/>
  <c r="C52" i="7"/>
  <c r="B52" i="7"/>
  <c r="D52" i="7" s="1"/>
  <c r="I6" i="7"/>
  <c r="I5" i="7"/>
  <c r="N57" i="7"/>
  <c r="P57" i="7"/>
  <c r="O57" i="7" s="1"/>
  <c r="P45" i="7"/>
  <c r="O45" i="7" s="1"/>
  <c r="N45" i="7"/>
  <c r="B40" i="7"/>
  <c r="I7" i="7"/>
  <c r="C36" i="7"/>
  <c r="D36" i="7" s="1"/>
  <c r="D40" i="7" s="1"/>
  <c r="P44" i="7"/>
  <c r="O44" i="7" s="1"/>
  <c r="L52" i="7"/>
  <c r="D45" i="7"/>
  <c r="M52" i="7"/>
  <c r="I4" i="7"/>
  <c r="L36" i="7"/>
  <c r="D57" i="7"/>
  <c r="I9" i="7"/>
  <c r="F57" i="7"/>
  <c r="E57" i="7" s="1"/>
  <c r="L36" i="3"/>
  <c r="L40" i="3" s="1"/>
  <c r="B36" i="3"/>
  <c r="B40" i="3" s="1"/>
  <c r="B36" i="6"/>
  <c r="B40" i="6" s="1"/>
  <c r="C36" i="6"/>
  <c r="C40" i="6" s="1"/>
  <c r="L36" i="6"/>
  <c r="L40" i="6" s="1"/>
  <c r="C36" i="3"/>
  <c r="C40" i="3" s="1"/>
  <c r="I6" i="6"/>
  <c r="L7" i="6"/>
  <c r="L10" i="6" s="1"/>
  <c r="L8" i="5"/>
  <c r="L7" i="5"/>
  <c r="I7" i="3"/>
  <c r="L7" i="3"/>
  <c r="L10" i="3" s="1"/>
  <c r="C36" i="4"/>
  <c r="C40" i="4" s="1"/>
  <c r="L36" i="4"/>
  <c r="L40" i="4" s="1"/>
  <c r="L8" i="4"/>
  <c r="L7" i="4"/>
  <c r="N56" i="4"/>
  <c r="P56" i="4"/>
  <c r="O56" i="4" s="1"/>
  <c r="N44" i="4"/>
  <c r="N46" i="4"/>
  <c r="P46" i="4"/>
  <c r="O46" i="4" s="1"/>
  <c r="N45" i="4"/>
  <c r="P44" i="4"/>
  <c r="O44" i="4" s="1"/>
  <c r="N44" i="3"/>
  <c r="N56" i="3"/>
  <c r="P56" i="3"/>
  <c r="O56" i="3" s="1"/>
  <c r="N46" i="3"/>
  <c r="P44" i="3"/>
  <c r="O44" i="3" s="1"/>
  <c r="P45" i="6"/>
  <c r="O45" i="6" s="1"/>
  <c r="N45" i="6"/>
  <c r="N46" i="6"/>
  <c r="P46" i="6"/>
  <c r="O46" i="6" s="1"/>
  <c r="P44" i="6"/>
  <c r="O44" i="6" s="1"/>
  <c r="I8" i="3"/>
  <c r="I9" i="3"/>
  <c r="I5" i="3"/>
  <c r="B52" i="3"/>
  <c r="C52" i="3"/>
  <c r="I5" i="4"/>
  <c r="I8" i="4"/>
  <c r="I4" i="4"/>
  <c r="I7" i="4"/>
  <c r="I6" i="4"/>
  <c r="C52" i="5"/>
  <c r="I6" i="5"/>
  <c r="I5" i="6"/>
  <c r="I7" i="6"/>
  <c r="I8" i="6"/>
  <c r="B52" i="6"/>
  <c r="I4" i="6"/>
  <c r="I9" i="6"/>
  <c r="C18" i="6" s="1"/>
  <c r="L52" i="6"/>
  <c r="M52" i="6"/>
  <c r="I7" i="5"/>
  <c r="F36" i="5"/>
  <c r="E36" i="5" s="1"/>
  <c r="E40" i="5" s="1"/>
  <c r="B40" i="5"/>
  <c r="B52" i="5"/>
  <c r="D52" i="5" s="1"/>
  <c r="N45" i="5"/>
  <c r="I4" i="5"/>
  <c r="I9" i="5"/>
  <c r="L52" i="5"/>
  <c r="M52" i="5"/>
  <c r="B40" i="4"/>
  <c r="B52" i="4"/>
  <c r="D52" i="4" s="1"/>
  <c r="I9" i="4"/>
  <c r="L52" i="4"/>
  <c r="M52" i="4"/>
  <c r="I4" i="3"/>
  <c r="N36" i="3"/>
  <c r="N40" i="3" s="1"/>
  <c r="M40" i="3"/>
  <c r="L52" i="3"/>
  <c r="I6" i="3"/>
  <c r="M52" i="3"/>
  <c r="P36" i="7" l="1"/>
  <c r="O36" i="7" s="1"/>
  <c r="O40" i="7" s="1"/>
  <c r="P56" i="7"/>
  <c r="O56" i="7" s="1"/>
  <c r="C16" i="7"/>
  <c r="C17" i="7" s="1"/>
  <c r="P36" i="6"/>
  <c r="O36" i="6" s="1"/>
  <c r="O40" i="6" s="1"/>
  <c r="D52" i="6"/>
  <c r="N36" i="5"/>
  <c r="N40" i="5" s="1"/>
  <c r="P52" i="5"/>
  <c r="O52" i="5" s="1"/>
  <c r="P36" i="5"/>
  <c r="O36" i="5" s="1"/>
  <c r="O40" i="5" s="1"/>
  <c r="D36" i="6"/>
  <c r="D40" i="6" s="1"/>
  <c r="C16" i="5"/>
  <c r="P36" i="3"/>
  <c r="O36" i="3" s="1"/>
  <c r="O40" i="3" s="1"/>
  <c r="C18" i="7"/>
  <c r="C19" i="7" s="1"/>
  <c r="B16" i="7"/>
  <c r="B17" i="7" s="1"/>
  <c r="P52" i="7"/>
  <c r="O52" i="7" s="1"/>
  <c r="F52" i="7"/>
  <c r="E52" i="7" s="1"/>
  <c r="L40" i="7"/>
  <c r="N36" i="7"/>
  <c r="N40" i="7" s="1"/>
  <c r="N52" i="7"/>
  <c r="B18" i="7"/>
  <c r="C40" i="7"/>
  <c r="F36" i="7"/>
  <c r="E36" i="7" s="1"/>
  <c r="E40" i="7" s="1"/>
  <c r="N36" i="6"/>
  <c r="N40" i="6" s="1"/>
  <c r="F36" i="6"/>
  <c r="E36" i="6" s="1"/>
  <c r="E40" i="6" s="1"/>
  <c r="F36" i="4"/>
  <c r="E36" i="4" s="1"/>
  <c r="E40" i="4" s="1"/>
  <c r="F36" i="3"/>
  <c r="E36" i="3" s="1"/>
  <c r="E40" i="3" s="1"/>
  <c r="D36" i="3"/>
  <c r="D40" i="3" s="1"/>
  <c r="L10" i="5"/>
  <c r="P36" i="4"/>
  <c r="O36" i="4" s="1"/>
  <c r="O40" i="4" s="1"/>
  <c r="D36" i="4"/>
  <c r="D40" i="4" s="1"/>
  <c r="N36" i="4"/>
  <c r="N40" i="4" s="1"/>
  <c r="B18" i="4"/>
  <c r="B19" i="4" s="1"/>
  <c r="N52" i="4"/>
  <c r="L10" i="4"/>
  <c r="C16" i="4"/>
  <c r="S48" i="4" s="1"/>
  <c r="B16" i="4"/>
  <c r="B17" i="4" s="1"/>
  <c r="C18" i="3"/>
  <c r="S52" i="3" s="1"/>
  <c r="F52" i="3"/>
  <c r="E52" i="3" s="1"/>
  <c r="D52" i="3"/>
  <c r="B18" i="3"/>
  <c r="B16" i="3"/>
  <c r="I51" i="3" s="1"/>
  <c r="C16" i="6"/>
  <c r="S48" i="6" s="1"/>
  <c r="N52" i="6"/>
  <c r="N52" i="3"/>
  <c r="C18" i="5"/>
  <c r="S49" i="5" s="1"/>
  <c r="S49" i="6"/>
  <c r="C19" i="6"/>
  <c r="S52" i="6"/>
  <c r="B16" i="6"/>
  <c r="B18" i="6"/>
  <c r="P52" i="6"/>
  <c r="O52" i="6" s="1"/>
  <c r="F52" i="6"/>
  <c r="E52" i="6" s="1"/>
  <c r="C17" i="5"/>
  <c r="S48" i="5"/>
  <c r="S51" i="5"/>
  <c r="B18" i="5"/>
  <c r="B16" i="5"/>
  <c r="F52" i="5"/>
  <c r="E52" i="5" s="1"/>
  <c r="N52" i="5"/>
  <c r="F52" i="4"/>
  <c r="E52" i="4" s="1"/>
  <c r="C18" i="4"/>
  <c r="P52" i="4"/>
  <c r="O52" i="4" s="1"/>
  <c r="C16" i="3"/>
  <c r="P52" i="3"/>
  <c r="O52" i="3" s="1"/>
  <c r="S51" i="7" l="1"/>
  <c r="S48" i="7"/>
  <c r="I51" i="7"/>
  <c r="S49" i="7"/>
  <c r="L33" i="7"/>
  <c r="I48" i="7"/>
  <c r="S52" i="7"/>
  <c r="C19" i="3"/>
  <c r="S49" i="3"/>
  <c r="I49" i="7"/>
  <c r="B19" i="7"/>
  <c r="B34" i="7" s="1"/>
  <c r="I52" i="7"/>
  <c r="L34" i="7"/>
  <c r="S51" i="6"/>
  <c r="C17" i="6"/>
  <c r="L33" i="6" s="1"/>
  <c r="S52" i="5"/>
  <c r="C19" i="5"/>
  <c r="L34" i="5" s="1"/>
  <c r="I52" i="4"/>
  <c r="I49" i="4"/>
  <c r="S51" i="4"/>
  <c r="C17" i="4"/>
  <c r="I51" i="4"/>
  <c r="I48" i="4"/>
  <c r="B17" i="3"/>
  <c r="I48" i="3"/>
  <c r="B19" i="3"/>
  <c r="I52" i="3"/>
  <c r="I49" i="3"/>
  <c r="I49" i="6"/>
  <c r="I52" i="6"/>
  <c r="B19" i="6"/>
  <c r="I51" i="6"/>
  <c r="B17" i="6"/>
  <c r="I48" i="6"/>
  <c r="I48" i="5"/>
  <c r="I51" i="5"/>
  <c r="B17" i="5"/>
  <c r="I49" i="5"/>
  <c r="I52" i="5"/>
  <c r="B19" i="5"/>
  <c r="L33" i="5"/>
  <c r="S49" i="4"/>
  <c r="C19" i="4"/>
  <c r="L34" i="4" s="1"/>
  <c r="S52" i="4"/>
  <c r="B33" i="4"/>
  <c r="B22" i="4"/>
  <c r="C23" i="4" s="1"/>
  <c r="B34" i="4"/>
  <c r="S51" i="3"/>
  <c r="C17" i="3"/>
  <c r="L33" i="3" s="1"/>
  <c r="S48" i="3"/>
  <c r="S50" i="7" l="1"/>
  <c r="L34" i="6"/>
  <c r="S50" i="6" s="1"/>
  <c r="B22" i="3"/>
  <c r="C23" i="3" s="1"/>
  <c r="B22" i="7"/>
  <c r="C23" i="7" s="1"/>
  <c r="B38" i="7"/>
  <c r="C38" i="7"/>
  <c r="M38" i="7"/>
  <c r="L38" i="7"/>
  <c r="S53" i="7"/>
  <c r="L50" i="7" s="1"/>
  <c r="B33" i="7"/>
  <c r="B33" i="3"/>
  <c r="I53" i="3" s="1"/>
  <c r="B34" i="3"/>
  <c r="C38" i="3" s="1"/>
  <c r="C42" i="3" s="1"/>
  <c r="L33" i="4"/>
  <c r="S53" i="4" s="1"/>
  <c r="L34" i="3"/>
  <c r="S53" i="3" s="1"/>
  <c r="B34" i="5"/>
  <c r="M38" i="5" s="1"/>
  <c r="B22" i="6"/>
  <c r="C23" i="6" s="1"/>
  <c r="B33" i="6"/>
  <c r="B34" i="6"/>
  <c r="S53" i="6"/>
  <c r="L50" i="6" s="1"/>
  <c r="S53" i="5"/>
  <c r="S50" i="5"/>
  <c r="B22" i="5"/>
  <c r="C23" i="5" s="1"/>
  <c r="B33" i="5"/>
  <c r="L37" i="4"/>
  <c r="C37" i="4"/>
  <c r="B37" i="4"/>
  <c r="M37" i="4"/>
  <c r="I50" i="4"/>
  <c r="I53" i="4"/>
  <c r="M38" i="4"/>
  <c r="L38" i="4"/>
  <c r="C38" i="4"/>
  <c r="B38" i="4"/>
  <c r="M37" i="3" l="1"/>
  <c r="I50" i="3"/>
  <c r="M38" i="3"/>
  <c r="L37" i="3"/>
  <c r="C37" i="3"/>
  <c r="B37" i="3"/>
  <c r="F37" i="3" s="1"/>
  <c r="E37" i="3" s="1"/>
  <c r="E41" i="3" s="1"/>
  <c r="M54" i="7"/>
  <c r="L54" i="7"/>
  <c r="N38" i="7"/>
  <c r="N42" i="7" s="1"/>
  <c r="L42" i="7"/>
  <c r="P38" i="7"/>
  <c r="O38" i="7" s="1"/>
  <c r="O42" i="7" s="1"/>
  <c r="M42" i="7"/>
  <c r="F38" i="7"/>
  <c r="E38" i="7" s="1"/>
  <c r="E42" i="7" s="1"/>
  <c r="C42" i="7"/>
  <c r="L49" i="7"/>
  <c r="C37" i="7"/>
  <c r="B37" i="7"/>
  <c r="M37" i="7"/>
  <c r="L37" i="7"/>
  <c r="I53" i="7"/>
  <c r="I50" i="7"/>
  <c r="B42" i="7"/>
  <c r="D38" i="7"/>
  <c r="D42" i="7" s="1"/>
  <c r="L38" i="3"/>
  <c r="L42" i="3" s="1"/>
  <c r="B38" i="3"/>
  <c r="F38" i="3" s="1"/>
  <c r="E38" i="3" s="1"/>
  <c r="E42" i="3" s="1"/>
  <c r="B38" i="5"/>
  <c r="C38" i="5"/>
  <c r="C42" i="5" s="1"/>
  <c r="L38" i="5"/>
  <c r="L42" i="5" s="1"/>
  <c r="S50" i="4"/>
  <c r="L50" i="4" s="1"/>
  <c r="S50" i="3"/>
  <c r="L50" i="3" s="1"/>
  <c r="M42" i="3"/>
  <c r="M54" i="6"/>
  <c r="L54" i="6"/>
  <c r="M38" i="6"/>
  <c r="L38" i="6"/>
  <c r="B38" i="6"/>
  <c r="L37" i="6"/>
  <c r="M37" i="6"/>
  <c r="C37" i="6"/>
  <c r="B37" i="6"/>
  <c r="I50" i="6"/>
  <c r="I53" i="6"/>
  <c r="L49" i="6"/>
  <c r="M42" i="5"/>
  <c r="L37" i="5"/>
  <c r="B37" i="5"/>
  <c r="C37" i="5"/>
  <c r="M37" i="5"/>
  <c r="I53" i="5"/>
  <c r="I50" i="5"/>
  <c r="L50" i="5"/>
  <c r="L49" i="5"/>
  <c r="B42" i="5"/>
  <c r="N38" i="4"/>
  <c r="N42" i="4" s="1"/>
  <c r="L42" i="4"/>
  <c r="M42" i="4"/>
  <c r="P38" i="4"/>
  <c r="O38" i="4" s="1"/>
  <c r="O42" i="4" s="1"/>
  <c r="B42" i="4"/>
  <c r="D38" i="4"/>
  <c r="D42" i="4" s="1"/>
  <c r="F38" i="4"/>
  <c r="E38" i="4" s="1"/>
  <c r="E42" i="4" s="1"/>
  <c r="C42" i="4"/>
  <c r="B50" i="4"/>
  <c r="B49" i="4"/>
  <c r="P37" i="4"/>
  <c r="O37" i="4" s="1"/>
  <c r="O41" i="4" s="1"/>
  <c r="M41" i="4"/>
  <c r="D37" i="4"/>
  <c r="D41" i="4" s="1"/>
  <c r="B41" i="4"/>
  <c r="C41" i="4"/>
  <c r="F37" i="4"/>
  <c r="E37" i="4" s="1"/>
  <c r="E41" i="4" s="1"/>
  <c r="L41" i="4"/>
  <c r="N37" i="4"/>
  <c r="N41" i="4" s="1"/>
  <c r="B50" i="3"/>
  <c r="B49" i="3"/>
  <c r="M41" i="3"/>
  <c r="P37" i="3"/>
  <c r="O37" i="3" s="1"/>
  <c r="O41" i="3" s="1"/>
  <c r="C41" i="3"/>
  <c r="B41" i="3"/>
  <c r="D37" i="3"/>
  <c r="D41" i="3" s="1"/>
  <c r="N37" i="3"/>
  <c r="N41" i="3" s="1"/>
  <c r="L41" i="3"/>
  <c r="N54" i="7" l="1"/>
  <c r="L49" i="4"/>
  <c r="N38" i="3"/>
  <c r="N42" i="3" s="1"/>
  <c r="M41" i="7"/>
  <c r="P37" i="7"/>
  <c r="O37" i="7" s="1"/>
  <c r="O41" i="7" s="1"/>
  <c r="M53" i="7"/>
  <c r="L53" i="7"/>
  <c r="C41" i="7"/>
  <c r="F37" i="7"/>
  <c r="E37" i="7" s="1"/>
  <c r="E41" i="7" s="1"/>
  <c r="B49" i="7"/>
  <c r="B50" i="7"/>
  <c r="D37" i="7"/>
  <c r="D41" i="7" s="1"/>
  <c r="B41" i="7"/>
  <c r="N37" i="7"/>
  <c r="N41" i="7" s="1"/>
  <c r="L41" i="7"/>
  <c r="P54" i="7"/>
  <c r="O54" i="7" s="1"/>
  <c r="F38" i="5"/>
  <c r="E38" i="5" s="1"/>
  <c r="E42" i="5" s="1"/>
  <c r="P38" i="5"/>
  <c r="O38" i="5" s="1"/>
  <c r="O42" i="5" s="1"/>
  <c r="D38" i="5"/>
  <c r="D42" i="5" s="1"/>
  <c r="P38" i="3"/>
  <c r="O38" i="3" s="1"/>
  <c r="O42" i="3" s="1"/>
  <c r="L49" i="3"/>
  <c r="M53" i="3" s="1"/>
  <c r="D38" i="3"/>
  <c r="D42" i="3" s="1"/>
  <c r="B42" i="3"/>
  <c r="P54" i="6"/>
  <c r="O54" i="6" s="1"/>
  <c r="N38" i="5"/>
  <c r="N42" i="5" s="1"/>
  <c r="B50" i="6"/>
  <c r="B49" i="6"/>
  <c r="P37" i="6"/>
  <c r="O37" i="6" s="1"/>
  <c r="O41" i="6" s="1"/>
  <c r="M41" i="6"/>
  <c r="B41" i="6"/>
  <c r="D37" i="6"/>
  <c r="D41" i="6" s="1"/>
  <c r="B42" i="6"/>
  <c r="D38" i="6"/>
  <c r="D42" i="6" s="1"/>
  <c r="F38" i="6"/>
  <c r="E38" i="6" s="1"/>
  <c r="E42" i="6" s="1"/>
  <c r="C42" i="6"/>
  <c r="N38" i="6"/>
  <c r="N42" i="6" s="1"/>
  <c r="L42" i="6"/>
  <c r="C41" i="6"/>
  <c r="F37" i="6"/>
  <c r="E37" i="6" s="1"/>
  <c r="E41" i="6" s="1"/>
  <c r="M42" i="6"/>
  <c r="P38" i="6"/>
  <c r="O38" i="6" s="1"/>
  <c r="O42" i="6" s="1"/>
  <c r="M53" i="6"/>
  <c r="L53" i="6"/>
  <c r="L41" i="6"/>
  <c r="N37" i="6"/>
  <c r="N41" i="6" s="1"/>
  <c r="N54" i="6"/>
  <c r="M41" i="5"/>
  <c r="P37" i="5"/>
  <c r="O37" i="5" s="1"/>
  <c r="O41" i="5" s="1"/>
  <c r="B41" i="5"/>
  <c r="D37" i="5"/>
  <c r="D41" i="5" s="1"/>
  <c r="C41" i="5"/>
  <c r="F37" i="5"/>
  <c r="E37" i="5" s="1"/>
  <c r="E41" i="5" s="1"/>
  <c r="M53" i="5"/>
  <c r="L53" i="5"/>
  <c r="B50" i="5"/>
  <c r="B49" i="5"/>
  <c r="L41" i="5"/>
  <c r="N37" i="5"/>
  <c r="N41" i="5" s="1"/>
  <c r="M54" i="5"/>
  <c r="L54" i="5"/>
  <c r="C54" i="4"/>
  <c r="B54" i="4"/>
  <c r="M53" i="4"/>
  <c r="L53" i="4"/>
  <c r="C53" i="4"/>
  <c r="B53" i="4"/>
  <c r="M54" i="4"/>
  <c r="L54" i="4"/>
  <c r="M54" i="3"/>
  <c r="L54" i="3"/>
  <c r="B53" i="3"/>
  <c r="C53" i="3"/>
  <c r="C54" i="3"/>
  <c r="B54" i="3"/>
  <c r="N53" i="7" l="1"/>
  <c r="N54" i="5"/>
  <c r="L53" i="3"/>
  <c r="C54" i="7"/>
  <c r="B54" i="7"/>
  <c r="C53" i="7"/>
  <c r="B53" i="7"/>
  <c r="P53" i="7"/>
  <c r="O53" i="7" s="1"/>
  <c r="N53" i="6"/>
  <c r="N53" i="4"/>
  <c r="P54" i="4"/>
  <c r="O54" i="4" s="1"/>
  <c r="N53" i="3"/>
  <c r="N54" i="3"/>
  <c r="D54" i="3"/>
  <c r="F54" i="3"/>
  <c r="E54" i="3" s="1"/>
  <c r="F53" i="3"/>
  <c r="E53" i="3" s="1"/>
  <c r="F53" i="4"/>
  <c r="E53" i="4" s="1"/>
  <c r="D54" i="4"/>
  <c r="P53" i="5"/>
  <c r="O53" i="5" s="1"/>
  <c r="P53" i="6"/>
  <c r="O53" i="6" s="1"/>
  <c r="C53" i="6"/>
  <c r="B53" i="6"/>
  <c r="D53" i="6" s="1"/>
  <c r="C54" i="6"/>
  <c r="B54" i="6"/>
  <c r="C53" i="5"/>
  <c r="B53" i="5"/>
  <c r="N53" i="5"/>
  <c r="C54" i="5"/>
  <c r="B54" i="5"/>
  <c r="P54" i="5"/>
  <c r="O54" i="5" s="1"/>
  <c r="N54" i="4"/>
  <c r="D53" i="4"/>
  <c r="P53" i="4"/>
  <c r="O53" i="4" s="1"/>
  <c r="F54" i="4"/>
  <c r="E54" i="4" s="1"/>
  <c r="D53" i="3"/>
  <c r="P54" i="3"/>
  <c r="O54" i="3" s="1"/>
  <c r="P53" i="3"/>
  <c r="O53" i="3" s="1"/>
  <c r="D53" i="7" l="1"/>
  <c r="D53" i="5"/>
  <c r="D54" i="5"/>
  <c r="D54" i="7"/>
  <c r="F53" i="7"/>
  <c r="E53" i="7" s="1"/>
  <c r="F54" i="7"/>
  <c r="E54" i="7" s="1"/>
  <c r="F54" i="5"/>
  <c r="E54" i="5" s="1"/>
  <c r="F53" i="5"/>
  <c r="E53" i="5" s="1"/>
  <c r="F54" i="6"/>
  <c r="E54" i="6" s="1"/>
  <c r="D54" i="6"/>
  <c r="F53" i="6"/>
  <c r="E53" i="6" s="1"/>
</calcChain>
</file>

<file path=xl/sharedStrings.xml><?xml version="1.0" encoding="utf-8"?>
<sst xmlns="http://schemas.openxmlformats.org/spreadsheetml/2006/main" count="834" uniqueCount="76">
  <si>
    <t>MECANISMO DE 4 BARRAS - ANGULOS DE TRANSMISION</t>
  </si>
  <si>
    <t>INTRODUCIR DATOS</t>
  </si>
  <si>
    <t>RESPUESTA</t>
  </si>
  <si>
    <t>Coeficientes</t>
  </si>
  <si>
    <t>A</t>
  </si>
  <si>
    <t>Grashof</t>
  </si>
  <si>
    <t>Manivela</t>
  </si>
  <si>
    <t>a</t>
  </si>
  <si>
    <t>K1</t>
  </si>
  <si>
    <t>B</t>
  </si>
  <si>
    <t>S</t>
  </si>
  <si>
    <t>Acoplador</t>
  </si>
  <si>
    <t>b</t>
  </si>
  <si>
    <t>K2</t>
  </si>
  <si>
    <t>C</t>
  </si>
  <si>
    <t>L</t>
  </si>
  <si>
    <t>Balancin</t>
  </si>
  <si>
    <t>c</t>
  </si>
  <si>
    <t>K3</t>
  </si>
  <si>
    <t>D</t>
  </si>
  <si>
    <t>P+Q</t>
  </si>
  <si>
    <t>Tierra</t>
  </si>
  <si>
    <t>d</t>
  </si>
  <si>
    <t>K4</t>
  </si>
  <si>
    <t>E</t>
  </si>
  <si>
    <t>S+L</t>
  </si>
  <si>
    <t>Agulo de Manivela</t>
  </si>
  <si>
    <t>θ2</t>
  </si>
  <si>
    <t>K5</t>
  </si>
  <si>
    <t>F</t>
  </si>
  <si>
    <t>RAD</t>
  </si>
  <si>
    <t>w2</t>
  </si>
  <si>
    <t>a2</t>
  </si>
  <si>
    <t>INCLINACION</t>
  </si>
  <si>
    <t>ANGULOS</t>
  </si>
  <si>
    <t>CRUZADO</t>
  </si>
  <si>
    <t>ABIERTO</t>
  </si>
  <si>
    <t>θ4 radianes</t>
  </si>
  <si>
    <t>θ4 grados</t>
  </si>
  <si>
    <t xml:space="preserve">θ3 radianes </t>
  </si>
  <si>
    <t>θ3 grados</t>
  </si>
  <si>
    <t>ANGULOS DE TRANSMISION</t>
  </si>
  <si>
    <t>SI ES &gt; A 90</t>
  </si>
  <si>
    <t>VALORES EXTREMOS</t>
  </si>
  <si>
    <t>ANGULO</t>
  </si>
  <si>
    <t>θ TRANS TRASLAPADO</t>
  </si>
  <si>
    <t>θ TRANS EXTENDIDO</t>
  </si>
  <si>
    <t>POSICION DE ENGARROTAMIENTO</t>
  </si>
  <si>
    <t>+</t>
  </si>
  <si>
    <t>-</t>
  </si>
  <si>
    <t>VELOCIDADES ANGULARES -CRUZADO</t>
  </si>
  <si>
    <t>VELOCIDADES ANGULARES - ABIERTO</t>
  </si>
  <si>
    <t>w3 Acoplador</t>
  </si>
  <si>
    <t xml:space="preserve">w4 Balancin </t>
  </si>
  <si>
    <t>VELOCIDADES LINEAL LOCAL</t>
  </si>
  <si>
    <t>X</t>
  </si>
  <si>
    <t>Y</t>
  </si>
  <si>
    <t>MAG</t>
  </si>
  <si>
    <t>θ</t>
  </si>
  <si>
    <t>θref</t>
  </si>
  <si>
    <t>VA</t>
  </si>
  <si>
    <t>V B/A</t>
  </si>
  <si>
    <t>VB</t>
  </si>
  <si>
    <t>VELOCIDADES LINEAL GENERAL</t>
  </si>
  <si>
    <t>ACELERACIONES ANGULARES</t>
  </si>
  <si>
    <t>a3 Acoplador</t>
  </si>
  <si>
    <t>a4 Balancin</t>
  </si>
  <si>
    <t>ACELERACIONES LINEALES LOCALES</t>
  </si>
  <si>
    <t>AA</t>
  </si>
  <si>
    <t>ABA</t>
  </si>
  <si>
    <t>AB</t>
  </si>
  <si>
    <t>Eslabones [mm]- INPUT</t>
  </si>
  <si>
    <t>EXPERIMENTAL</t>
  </si>
  <si>
    <t>VELOCIDADES LINEAL EXPERIMENTAL</t>
  </si>
  <si>
    <t>ACELERACIONES LINEALES EXPERIMENTALES</t>
  </si>
  <si>
    <t xml:space="preserve">Este normalmente varia porq se cae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</si>
</sst>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0"/>
    <numFmt numFmtId="165" formatCode="0.000000"/>
    <numFmt numFmtId="166" formatCode="0.000000000"/>
    <numFmt numFmtId="167" formatCode="0.000000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mbria Math"/>
      <family val="1"/>
    </font>
    <font>
      <b/>
      <sz val="11"/>
      <color rgb="FF006100"/>
      <name val="Calibri"/>
      <family val="2"/>
      <scheme val="minor"/>
    </font>
    <font>
      <b/>
      <sz val="11"/>
      <color rgb="FF9C0006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 tint="0.59999389629810485"/>
        <bgColor indexed="65"/>
      </patternFill>
    </fill>
  </fills>
  <borders count="2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double">
        <color rgb="FF3F3F3F"/>
      </right>
      <top style="double">
        <color rgb="FF3F3F3F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  <border>
      <left style="medium">
        <color indexed="64"/>
      </left>
      <right style="double">
        <color rgb="FF3F3F3F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medium">
        <color indexed="64"/>
      </top>
      <bottom style="thin">
        <color rgb="FF3F3F3F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thin">
        <color rgb="FF3F3F3F"/>
      </bottom>
      <diagonal/>
    </border>
    <border>
      <left style="double">
        <color rgb="FF3F3F3F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rgb="FF3F3F3F"/>
      </bottom>
      <diagonal/>
    </border>
    <border>
      <left style="double">
        <color rgb="FF3F3F3F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5" borderId="1" applyNumberFormat="0" applyAlignment="0" applyProtection="0"/>
    <xf numFmtId="0" fontId="7" fillId="6" borderId="3" applyNumberFormat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</cellStyleXfs>
  <cellXfs count="82">
    <xf numFmtId="0" fontId="0" fillId="0" borderId="0" xfId="0"/>
    <xf numFmtId="0" fontId="5" fillId="5" borderId="4" xfId="4" applyBorder="1" applyAlignment="1">
      <alignment horizontal="center" vertical="center"/>
    </xf>
    <xf numFmtId="0" fontId="5" fillId="5" borderId="6" xfId="4" applyBorder="1" applyAlignment="1">
      <alignment horizontal="center" vertical="center"/>
    </xf>
    <xf numFmtId="0" fontId="8" fillId="7" borderId="13" xfId="7" applyFont="1" applyBorder="1" applyAlignment="1">
      <alignment horizontal="center" vertical="center"/>
    </xf>
    <xf numFmtId="0" fontId="8" fillId="7" borderId="0" xfId="7" applyFont="1" applyBorder="1" applyAlignment="1">
      <alignment horizontal="center" vertical="center"/>
    </xf>
    <xf numFmtId="0" fontId="1" fillId="7" borderId="14" xfId="7" applyBorder="1" applyAlignment="1">
      <alignment horizontal="center" vertical="center"/>
    </xf>
    <xf numFmtId="0" fontId="8" fillId="8" borderId="13" xfId="8" applyFont="1" applyBorder="1" applyAlignment="1">
      <alignment horizontal="center" vertical="center"/>
    </xf>
    <xf numFmtId="0" fontId="1" fillId="8" borderId="14" xfId="8" applyBorder="1" applyAlignment="1">
      <alignment horizontal="center" vertical="center"/>
    </xf>
    <xf numFmtId="0" fontId="5" fillId="5" borderId="13" xfId="4" applyBorder="1" applyAlignment="1">
      <alignment horizontal="center" vertical="center"/>
    </xf>
    <xf numFmtId="0" fontId="5" fillId="5" borderId="14" xfId="4" applyBorder="1" applyAlignment="1">
      <alignment horizontal="center" vertical="center"/>
    </xf>
    <xf numFmtId="0" fontId="8" fillId="9" borderId="13" xfId="9" applyFont="1" applyBorder="1" applyAlignment="1">
      <alignment horizontal="center"/>
    </xf>
    <xf numFmtId="0" fontId="1" fillId="9" borderId="14" xfId="9" applyBorder="1" applyAlignment="1">
      <alignment horizontal="center"/>
    </xf>
    <xf numFmtId="0" fontId="8" fillId="9" borderId="7" xfId="9" applyFont="1" applyBorder="1" applyAlignment="1">
      <alignment horizontal="center"/>
    </xf>
    <xf numFmtId="0" fontId="1" fillId="9" borderId="9" xfId="9" applyBorder="1" applyAlignment="1">
      <alignment horizontal="center"/>
    </xf>
    <xf numFmtId="0" fontId="8" fillId="8" borderId="7" xfId="8" applyFont="1" applyBorder="1" applyAlignment="1">
      <alignment horizontal="center" vertical="center"/>
    </xf>
    <xf numFmtId="0" fontId="1" fillId="8" borderId="9" xfId="8" applyBorder="1" applyAlignment="1">
      <alignment horizontal="center" vertical="center"/>
    </xf>
    <xf numFmtId="0" fontId="5" fillId="5" borderId="7" xfId="4" applyBorder="1" applyAlignment="1">
      <alignment horizontal="center" vertical="center"/>
    </xf>
    <xf numFmtId="0" fontId="5" fillId="5" borderId="9" xfId="4" applyBorder="1" applyAlignment="1">
      <alignment horizontal="center" vertical="center"/>
    </xf>
    <xf numFmtId="0" fontId="6" fillId="5" borderId="17" xfId="5" applyBorder="1" applyAlignment="1">
      <alignment horizontal="center" vertical="center"/>
    </xf>
    <xf numFmtId="0" fontId="6" fillId="5" borderId="18" xfId="5" applyBorder="1" applyAlignment="1">
      <alignment horizontal="center" vertical="center"/>
    </xf>
    <xf numFmtId="0" fontId="7" fillId="6" borderId="19" xfId="6" applyBorder="1" applyAlignment="1">
      <alignment horizontal="center" vertical="center"/>
    </xf>
    <xf numFmtId="0" fontId="2" fillId="2" borderId="20" xfId="1" applyBorder="1" applyAlignment="1">
      <alignment horizontal="center" vertical="center"/>
    </xf>
    <xf numFmtId="0" fontId="10" fillId="0" borderId="0" xfId="0" applyFont="1"/>
    <xf numFmtId="0" fontId="4" fillId="4" borderId="0" xfId="3" applyAlignment="1">
      <alignment horizontal="center" vertical="center"/>
    </xf>
    <xf numFmtId="0" fontId="7" fillId="6" borderId="10" xfId="6" applyBorder="1" applyAlignment="1">
      <alignment horizontal="center" vertical="center"/>
    </xf>
    <xf numFmtId="0" fontId="5" fillId="5" borderId="22" xfId="4" applyBorder="1" applyAlignment="1">
      <alignment horizontal="center" vertical="center"/>
    </xf>
    <xf numFmtId="0" fontId="5" fillId="5" borderId="23" xfId="4" applyBorder="1" applyAlignment="1">
      <alignment horizontal="center" vertical="center"/>
    </xf>
    <xf numFmtId="0" fontId="11" fillId="2" borderId="13" xfId="1" applyFont="1" applyBorder="1" applyAlignment="1">
      <alignment horizontal="center" vertical="center"/>
    </xf>
    <xf numFmtId="0" fontId="2" fillId="2" borderId="0" xfId="1" applyBorder="1" applyAlignment="1">
      <alignment horizontal="center" vertical="center"/>
    </xf>
    <xf numFmtId="0" fontId="2" fillId="2" borderId="14" xfId="1" applyBorder="1" applyAlignment="1">
      <alignment horizontal="center" vertical="center"/>
    </xf>
    <xf numFmtId="0" fontId="11" fillId="2" borderId="0" xfId="1" applyFont="1" applyBorder="1" applyAlignment="1">
      <alignment horizontal="center" vertical="center"/>
    </xf>
    <xf numFmtId="0" fontId="11" fillId="2" borderId="14" xfId="1" applyFont="1" applyBorder="1" applyAlignment="1">
      <alignment horizontal="center" vertical="center"/>
    </xf>
    <xf numFmtId="0" fontId="11" fillId="2" borderId="7" xfId="1" applyFont="1" applyBorder="1" applyAlignment="1">
      <alignment horizontal="center" vertical="center"/>
    </xf>
    <xf numFmtId="0" fontId="11" fillId="2" borderId="8" xfId="1" applyFont="1" applyBorder="1" applyAlignment="1">
      <alignment horizontal="center" vertical="center"/>
    </xf>
    <xf numFmtId="0" fontId="11" fillId="2" borderId="9" xfId="1" applyFont="1" applyBorder="1" applyAlignment="1">
      <alignment horizontal="center" vertical="center"/>
    </xf>
    <xf numFmtId="0" fontId="7" fillId="6" borderId="25" xfId="6" applyBorder="1" applyAlignment="1">
      <alignment horizontal="center" vertical="center"/>
    </xf>
    <xf numFmtId="0" fontId="2" fillId="2" borderId="27" xfId="1" applyBorder="1" applyAlignment="1">
      <alignment horizontal="center" vertical="center"/>
    </xf>
    <xf numFmtId="0" fontId="2" fillId="2" borderId="0" xfId="1" applyBorder="1"/>
    <xf numFmtId="0" fontId="2" fillId="2" borderId="14" xfId="1" applyBorder="1"/>
    <xf numFmtId="0" fontId="2" fillId="2" borderId="8" xfId="1" applyBorder="1"/>
    <xf numFmtId="0" fontId="2" fillId="2" borderId="9" xfId="1" applyBorder="1"/>
    <xf numFmtId="0" fontId="2" fillId="2" borderId="8" xfId="1" applyBorder="1" applyAlignment="1">
      <alignment horizontal="center"/>
    </xf>
    <xf numFmtId="0" fontId="2" fillId="2" borderId="9" xfId="1" applyBorder="1" applyAlignment="1">
      <alignment horizontal="center"/>
    </xf>
    <xf numFmtId="0" fontId="11" fillId="2" borderId="0" xfId="1" applyFont="1" applyAlignment="1">
      <alignment horizontal="center" vertical="center"/>
    </xf>
    <xf numFmtId="0" fontId="2" fillId="2" borderId="0" xfId="1" applyAlignment="1">
      <alignment horizontal="center" vertical="center"/>
    </xf>
    <xf numFmtId="0" fontId="6" fillId="5" borderId="1" xfId="5" applyAlignment="1">
      <alignment horizontal="center" vertical="center"/>
    </xf>
    <xf numFmtId="0" fontId="2" fillId="2" borderId="0" xfId="1"/>
    <xf numFmtId="0" fontId="2" fillId="2" borderId="0" xfId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/>
    <xf numFmtId="0" fontId="3" fillId="3" borderId="14" xfId="2" applyBorder="1" applyAlignment="1">
      <alignment horizontal="center" vertical="center"/>
    </xf>
    <xf numFmtId="0" fontId="12" fillId="3" borderId="9" xfId="2" applyFont="1" applyBorder="1" applyAlignment="1">
      <alignment horizontal="center" vertical="center"/>
    </xf>
    <xf numFmtId="0" fontId="12" fillId="3" borderId="14" xfId="2" applyFont="1" applyBorder="1" applyAlignment="1">
      <alignment horizontal="center" vertical="center"/>
    </xf>
    <xf numFmtId="0" fontId="3" fillId="3" borderId="0" xfId="2" applyAlignment="1">
      <alignment horizontal="center" vertical="center"/>
    </xf>
    <xf numFmtId="0" fontId="3" fillId="3" borderId="0" xfId="2" applyBorder="1" applyAlignment="1">
      <alignment horizontal="center" vertical="center"/>
    </xf>
    <xf numFmtId="0" fontId="3" fillId="3" borderId="0" xfId="2" applyAlignment="1">
      <alignment horizontal="center"/>
    </xf>
    <xf numFmtId="0" fontId="3" fillId="3" borderId="0" xfId="2"/>
    <xf numFmtId="0" fontId="8" fillId="7" borderId="21" xfId="7" applyFont="1" applyBorder="1" applyAlignment="1">
      <alignment horizontal="center" vertical="center"/>
    </xf>
    <xf numFmtId="0" fontId="12" fillId="3" borderId="0" xfId="2" applyFont="1" applyAlignment="1">
      <alignment horizontal="center" vertical="center"/>
    </xf>
    <xf numFmtId="0" fontId="3" fillId="3" borderId="20" xfId="2" applyBorder="1" applyAlignment="1">
      <alignment horizontal="center" vertical="center"/>
    </xf>
    <xf numFmtId="164" fontId="3" fillId="3" borderId="0" xfId="2" applyNumberFormat="1" applyAlignment="1">
      <alignment horizontal="center" vertical="center"/>
    </xf>
    <xf numFmtId="165" fontId="3" fillId="3" borderId="0" xfId="2" applyNumberFormat="1" applyAlignment="1">
      <alignment horizontal="center" vertical="center"/>
    </xf>
    <xf numFmtId="166" fontId="2" fillId="2" borderId="0" xfId="1" applyNumberFormat="1" applyAlignment="1">
      <alignment horizontal="center" vertical="center"/>
    </xf>
    <xf numFmtId="167" fontId="2" fillId="2" borderId="0" xfId="1" applyNumberFormat="1" applyAlignment="1">
      <alignment horizontal="center" vertical="center"/>
    </xf>
    <xf numFmtId="0" fontId="7" fillId="6" borderId="15" xfId="6" applyBorder="1" applyAlignment="1">
      <alignment horizontal="center" vertical="center"/>
    </xf>
    <xf numFmtId="0" fontId="7" fillId="6" borderId="16" xfId="6" applyBorder="1" applyAlignment="1">
      <alignment horizontal="center" vertical="center"/>
    </xf>
    <xf numFmtId="0" fontId="4" fillId="4" borderId="21" xfId="3" applyBorder="1" applyAlignment="1">
      <alignment horizontal="center" vertical="center"/>
    </xf>
    <xf numFmtId="0" fontId="4" fillId="4" borderId="20" xfId="3" applyBorder="1" applyAlignment="1">
      <alignment horizontal="center" vertical="center"/>
    </xf>
    <xf numFmtId="0" fontId="7" fillId="6" borderId="10" xfId="6" applyBorder="1" applyAlignment="1">
      <alignment horizontal="center" vertical="center"/>
    </xf>
    <xf numFmtId="0" fontId="2" fillId="2" borderId="24" xfId="1" applyBorder="1" applyAlignment="1">
      <alignment horizontal="center" vertical="center"/>
    </xf>
    <xf numFmtId="0" fontId="2" fillId="2" borderId="26" xfId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/>
    </xf>
    <xf numFmtId="0" fontId="0" fillId="7" borderId="0" xfId="7" applyFont="1" applyBorder="1" applyAlignment="1">
      <alignment horizontal="center" vertical="center"/>
    </xf>
    <xf numFmtId="0" fontId="2" fillId="2" borderId="0" xfId="1" applyBorder="1" applyAlignment="1">
      <alignment horizontal="center"/>
    </xf>
    <xf numFmtId="0" fontId="7" fillId="6" borderId="10" xfId="6" applyBorder="1" applyAlignment="1">
      <alignment horizontal="center"/>
    </xf>
    <xf numFmtId="0" fontId="7" fillId="6" borderId="11" xfId="6" applyBorder="1" applyAlignment="1">
      <alignment horizontal="center"/>
    </xf>
    <xf numFmtId="0" fontId="7" fillId="6" borderId="12" xfId="6" applyBorder="1" applyAlignment="1">
      <alignment horizontal="center"/>
    </xf>
  </cellXfs>
  <cellStyles count="10">
    <cellStyle name="40% - Énfasis1" xfId="7" builtinId="31"/>
    <cellStyle name="40% - Énfasis2" xfId="8" builtinId="35"/>
    <cellStyle name="40% - Énfasis5" xfId="9" builtinId="47"/>
    <cellStyle name="Bueno" xfId="1" builtinId="26"/>
    <cellStyle name="Cálculo" xfId="5" builtinId="22"/>
    <cellStyle name="Celda de comprobación" xfId="6" builtinId="23"/>
    <cellStyle name="Incorrecto" xfId="2" builtinId="27"/>
    <cellStyle name="Neutral" xfId="3" builtinId="28"/>
    <cellStyle name="Normal" xfId="0" builtinId="0"/>
    <cellStyle name="Salida" xfId="4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230778</xdr:colOff>
      <xdr:row>10</xdr:row>
      <xdr:rowOff>195943</xdr:rowOff>
    </xdr:from>
    <xdr:to>
      <xdr:col>12</xdr:col>
      <xdr:colOff>186147</xdr:colOff>
      <xdr:row>30</xdr:row>
      <xdr:rowOff>7620</xdr:rowOff>
    </xdr:to>
    <xdr:pic>
      <xdr:nvPicPr>
        <xdr:cNvPr id="2" name="Imagen 1" descr="Diagrama&#10;&#10;Descripción generada automáticamente">
          <a:extLst>
            <a:ext uri="{FF2B5EF4-FFF2-40B4-BE49-F238E27FC236}">
              <a16:creationId xmlns:a16="http://schemas.microsoft.com/office/drawing/2014/main" id="{834AAF6F-C8DE-40FE-9C6D-0B017DBFE76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028" r="46380" b="8508"/>
        <a:stretch/>
      </xdr:blipFill>
      <xdr:spPr>
        <a:xfrm>
          <a:off x="8292738" y="2093323"/>
          <a:ext cx="5868489" cy="3629297"/>
        </a:xfrm>
        <a:prstGeom prst="rect">
          <a:avLst/>
        </a:prstGeom>
      </xdr:spPr>
    </xdr:pic>
    <xdr:clientData/>
  </xdr:twoCellAnchor>
  <xdr:twoCellAnchor editAs="oneCell">
    <xdr:from>
      <xdr:col>12</xdr:col>
      <xdr:colOff>723899</xdr:colOff>
      <xdr:row>11</xdr:row>
      <xdr:rowOff>53340</xdr:rowOff>
    </xdr:from>
    <xdr:to>
      <xdr:col>18</xdr:col>
      <xdr:colOff>777240</xdr:colOff>
      <xdr:row>29</xdr:row>
      <xdr:rowOff>76200</xdr:rowOff>
    </xdr:to>
    <xdr:pic>
      <xdr:nvPicPr>
        <xdr:cNvPr id="3" name="Imagen 2" descr="Diagrama&#10;&#10;Descripción generada automáticamente">
          <a:extLst>
            <a:ext uri="{FF2B5EF4-FFF2-40B4-BE49-F238E27FC236}">
              <a16:creationId xmlns:a16="http://schemas.microsoft.com/office/drawing/2014/main" id="{28D9BB64-6660-44F7-9257-B046D115296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717" t="23771" r="19028" b="1672"/>
        <a:stretch/>
      </xdr:blipFill>
      <xdr:spPr>
        <a:xfrm>
          <a:off x="14698979" y="2156460"/>
          <a:ext cx="5067301" cy="3436620"/>
        </a:xfrm>
        <a:prstGeom prst="rect">
          <a:avLst/>
        </a:prstGeom>
      </xdr:spPr>
    </xdr:pic>
    <xdr:clientData/>
  </xdr:twoCellAnchor>
  <xdr:twoCellAnchor editAs="oneCell">
    <xdr:from>
      <xdr:col>0</xdr:col>
      <xdr:colOff>311591</xdr:colOff>
      <xdr:row>59</xdr:row>
      <xdr:rowOff>89647</xdr:rowOff>
    </xdr:from>
    <xdr:to>
      <xdr:col>6</xdr:col>
      <xdr:colOff>15912</xdr:colOff>
      <xdr:row>81</xdr:row>
      <xdr:rowOff>35859</xdr:rowOff>
    </xdr:to>
    <xdr:pic>
      <xdr:nvPicPr>
        <xdr:cNvPr id="10" name="Imagen 9" descr="Interfaz de usuario gráfica, Aplicación&#10;&#10;Descripción generada automáticamente">
          <a:extLst>
            <a:ext uri="{FF2B5EF4-FFF2-40B4-BE49-F238E27FC236}">
              <a16:creationId xmlns:a16="http://schemas.microsoft.com/office/drawing/2014/main" id="{2A079403-0645-AFDD-0741-D2BE0BBF98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1591" y="11134165"/>
          <a:ext cx="6795403" cy="3890682"/>
        </a:xfrm>
        <a:prstGeom prst="rect">
          <a:avLst/>
        </a:prstGeom>
      </xdr:spPr>
    </xdr:pic>
    <xdr:clientData/>
  </xdr:twoCellAnchor>
  <xdr:twoCellAnchor editAs="oneCell">
    <xdr:from>
      <xdr:col>6</xdr:col>
      <xdr:colOff>167426</xdr:colOff>
      <xdr:row>59</xdr:row>
      <xdr:rowOff>107578</xdr:rowOff>
    </xdr:from>
    <xdr:to>
      <xdr:col>12</xdr:col>
      <xdr:colOff>87027</xdr:colOff>
      <xdr:row>81</xdr:row>
      <xdr:rowOff>55976</xdr:rowOff>
    </xdr:to>
    <xdr:pic>
      <xdr:nvPicPr>
        <xdr:cNvPr id="11" name="Imagen 10" descr="Interfaz de usuario gráfica, Aplicación&#10;&#10;Descripción generada automáticamente">
          <a:extLst>
            <a:ext uri="{FF2B5EF4-FFF2-40B4-BE49-F238E27FC236}">
              <a16:creationId xmlns:a16="http://schemas.microsoft.com/office/drawing/2014/main" id="{A1BE31AF-99AA-C1D8-548C-9DA8EBEDAD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258508" y="11152096"/>
          <a:ext cx="6795531" cy="3892868"/>
        </a:xfrm>
        <a:prstGeom prst="rect">
          <a:avLst/>
        </a:prstGeom>
      </xdr:spPr>
    </xdr:pic>
    <xdr:clientData/>
  </xdr:twoCellAnchor>
  <xdr:twoCellAnchor editAs="oneCell">
    <xdr:from>
      <xdr:col>12</xdr:col>
      <xdr:colOff>376517</xdr:colOff>
      <xdr:row>59</xdr:row>
      <xdr:rowOff>7637</xdr:rowOff>
    </xdr:from>
    <xdr:to>
      <xdr:col>21</xdr:col>
      <xdr:colOff>18117</xdr:colOff>
      <xdr:row>81</xdr:row>
      <xdr:rowOff>64940</xdr:rowOff>
    </xdr:to>
    <xdr:pic>
      <xdr:nvPicPr>
        <xdr:cNvPr id="12" name="Imagen 11" descr="Interfaz de usuario gráfica, Aplicación&#10;&#10;Descripción generada automáticamente">
          <a:extLst>
            <a:ext uri="{FF2B5EF4-FFF2-40B4-BE49-F238E27FC236}">
              <a16:creationId xmlns:a16="http://schemas.microsoft.com/office/drawing/2014/main" id="{EA20FDA1-03C4-155A-748C-2C1934CAC4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343529" y="11052155"/>
          <a:ext cx="7010588" cy="40017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230778</xdr:colOff>
      <xdr:row>10</xdr:row>
      <xdr:rowOff>195943</xdr:rowOff>
    </xdr:from>
    <xdr:to>
      <xdr:col>12</xdr:col>
      <xdr:colOff>544287</xdr:colOff>
      <xdr:row>30</xdr:row>
      <xdr:rowOff>7620</xdr:rowOff>
    </xdr:to>
    <xdr:pic>
      <xdr:nvPicPr>
        <xdr:cNvPr id="2" name="Imagen 1" descr="Diagrama&#10;&#10;Descripción generada automáticamente">
          <a:extLst>
            <a:ext uri="{FF2B5EF4-FFF2-40B4-BE49-F238E27FC236}">
              <a16:creationId xmlns:a16="http://schemas.microsoft.com/office/drawing/2014/main" id="{3C0369B9-3DA2-4DC2-AC2F-A686F0BABC7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028" r="46380" b="8508"/>
        <a:stretch/>
      </xdr:blipFill>
      <xdr:spPr>
        <a:xfrm>
          <a:off x="7904118" y="2093323"/>
          <a:ext cx="5868489" cy="3629297"/>
        </a:xfrm>
        <a:prstGeom prst="rect">
          <a:avLst/>
        </a:prstGeom>
      </xdr:spPr>
    </xdr:pic>
    <xdr:clientData/>
  </xdr:twoCellAnchor>
  <xdr:twoCellAnchor editAs="oneCell">
    <xdr:from>
      <xdr:col>12</xdr:col>
      <xdr:colOff>723899</xdr:colOff>
      <xdr:row>11</xdr:row>
      <xdr:rowOff>53340</xdr:rowOff>
    </xdr:from>
    <xdr:to>
      <xdr:col>18</xdr:col>
      <xdr:colOff>777240</xdr:colOff>
      <xdr:row>29</xdr:row>
      <xdr:rowOff>76200</xdr:rowOff>
    </xdr:to>
    <xdr:pic>
      <xdr:nvPicPr>
        <xdr:cNvPr id="3" name="Imagen 2" descr="Diagrama&#10;&#10;Descripción generada automáticamente">
          <a:extLst>
            <a:ext uri="{FF2B5EF4-FFF2-40B4-BE49-F238E27FC236}">
              <a16:creationId xmlns:a16="http://schemas.microsoft.com/office/drawing/2014/main" id="{32902F7D-1D59-4D95-A7F7-B4F7FEDCAEF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717" t="23771" r="19028" b="1672"/>
        <a:stretch/>
      </xdr:blipFill>
      <xdr:spPr>
        <a:xfrm>
          <a:off x="13952219" y="2156460"/>
          <a:ext cx="5067301" cy="34366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230778</xdr:colOff>
      <xdr:row>10</xdr:row>
      <xdr:rowOff>195943</xdr:rowOff>
    </xdr:from>
    <xdr:to>
      <xdr:col>12</xdr:col>
      <xdr:colOff>186147</xdr:colOff>
      <xdr:row>30</xdr:row>
      <xdr:rowOff>7620</xdr:rowOff>
    </xdr:to>
    <xdr:pic>
      <xdr:nvPicPr>
        <xdr:cNvPr id="2" name="Imagen 1" descr="Diagrama&#10;&#10;Descripción generada automáticamente">
          <a:extLst>
            <a:ext uri="{FF2B5EF4-FFF2-40B4-BE49-F238E27FC236}">
              <a16:creationId xmlns:a16="http://schemas.microsoft.com/office/drawing/2014/main" id="{99F519A4-0C83-40E5-A220-765BABE60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028" r="46380" b="8508"/>
        <a:stretch/>
      </xdr:blipFill>
      <xdr:spPr>
        <a:xfrm>
          <a:off x="7904118" y="2093323"/>
          <a:ext cx="5868489" cy="3629297"/>
        </a:xfrm>
        <a:prstGeom prst="rect">
          <a:avLst/>
        </a:prstGeom>
      </xdr:spPr>
    </xdr:pic>
    <xdr:clientData/>
  </xdr:twoCellAnchor>
  <xdr:twoCellAnchor editAs="oneCell">
    <xdr:from>
      <xdr:col>12</xdr:col>
      <xdr:colOff>723899</xdr:colOff>
      <xdr:row>11</xdr:row>
      <xdr:rowOff>53340</xdr:rowOff>
    </xdr:from>
    <xdr:to>
      <xdr:col>18</xdr:col>
      <xdr:colOff>777240</xdr:colOff>
      <xdr:row>29</xdr:row>
      <xdr:rowOff>76200</xdr:rowOff>
    </xdr:to>
    <xdr:pic>
      <xdr:nvPicPr>
        <xdr:cNvPr id="3" name="Imagen 2" descr="Diagrama&#10;&#10;Descripción generada automáticamente">
          <a:extLst>
            <a:ext uri="{FF2B5EF4-FFF2-40B4-BE49-F238E27FC236}">
              <a16:creationId xmlns:a16="http://schemas.microsoft.com/office/drawing/2014/main" id="{0E3419F7-DD8C-49DE-B0A1-0D4109AEC37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717" t="23771" r="19028" b="1672"/>
        <a:stretch/>
      </xdr:blipFill>
      <xdr:spPr>
        <a:xfrm>
          <a:off x="13952219" y="2156460"/>
          <a:ext cx="5067301" cy="34366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230778</xdr:colOff>
      <xdr:row>10</xdr:row>
      <xdr:rowOff>195943</xdr:rowOff>
    </xdr:from>
    <xdr:to>
      <xdr:col>12</xdr:col>
      <xdr:colOff>544287</xdr:colOff>
      <xdr:row>30</xdr:row>
      <xdr:rowOff>7620</xdr:rowOff>
    </xdr:to>
    <xdr:pic>
      <xdr:nvPicPr>
        <xdr:cNvPr id="2" name="Imagen 1" descr="Diagrama&#10;&#10;Descripción generada automáticamente">
          <a:extLst>
            <a:ext uri="{FF2B5EF4-FFF2-40B4-BE49-F238E27FC236}">
              <a16:creationId xmlns:a16="http://schemas.microsoft.com/office/drawing/2014/main" id="{840BF4DE-8D74-4C70-9D3F-DB888A2B4F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028" r="46380" b="8508"/>
        <a:stretch/>
      </xdr:blipFill>
      <xdr:spPr>
        <a:xfrm>
          <a:off x="7904118" y="2093323"/>
          <a:ext cx="5868489" cy="3629297"/>
        </a:xfrm>
        <a:prstGeom prst="rect">
          <a:avLst/>
        </a:prstGeom>
      </xdr:spPr>
    </xdr:pic>
    <xdr:clientData/>
  </xdr:twoCellAnchor>
  <xdr:twoCellAnchor editAs="oneCell">
    <xdr:from>
      <xdr:col>12</xdr:col>
      <xdr:colOff>723899</xdr:colOff>
      <xdr:row>11</xdr:row>
      <xdr:rowOff>53340</xdr:rowOff>
    </xdr:from>
    <xdr:to>
      <xdr:col>18</xdr:col>
      <xdr:colOff>777240</xdr:colOff>
      <xdr:row>29</xdr:row>
      <xdr:rowOff>76200</xdr:rowOff>
    </xdr:to>
    <xdr:pic>
      <xdr:nvPicPr>
        <xdr:cNvPr id="3" name="Imagen 2" descr="Diagrama&#10;&#10;Descripción generada automáticamente">
          <a:extLst>
            <a:ext uri="{FF2B5EF4-FFF2-40B4-BE49-F238E27FC236}">
              <a16:creationId xmlns:a16="http://schemas.microsoft.com/office/drawing/2014/main" id="{CC0E3317-1C67-45D8-AA3C-968DA8CB7D1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717" t="23771" r="19028" b="1672"/>
        <a:stretch/>
      </xdr:blipFill>
      <xdr:spPr>
        <a:xfrm>
          <a:off x="13952219" y="2156460"/>
          <a:ext cx="5067301" cy="343662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230778</xdr:colOff>
      <xdr:row>10</xdr:row>
      <xdr:rowOff>195943</xdr:rowOff>
    </xdr:from>
    <xdr:to>
      <xdr:col>12</xdr:col>
      <xdr:colOff>544287</xdr:colOff>
      <xdr:row>30</xdr:row>
      <xdr:rowOff>7620</xdr:rowOff>
    </xdr:to>
    <xdr:pic>
      <xdr:nvPicPr>
        <xdr:cNvPr id="2" name="Imagen 1" descr="Diagrama&#10;&#10;Descripción generada automáticamente">
          <a:extLst>
            <a:ext uri="{FF2B5EF4-FFF2-40B4-BE49-F238E27FC236}">
              <a16:creationId xmlns:a16="http://schemas.microsoft.com/office/drawing/2014/main" id="{E11B1AE5-A914-452F-B2AD-FBC2077F733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20028" r="46380" b="8508"/>
        <a:stretch/>
      </xdr:blipFill>
      <xdr:spPr>
        <a:xfrm>
          <a:off x="7904118" y="2093323"/>
          <a:ext cx="5868489" cy="3629297"/>
        </a:xfrm>
        <a:prstGeom prst="rect">
          <a:avLst/>
        </a:prstGeom>
      </xdr:spPr>
    </xdr:pic>
    <xdr:clientData/>
  </xdr:twoCellAnchor>
  <xdr:twoCellAnchor editAs="oneCell">
    <xdr:from>
      <xdr:col>12</xdr:col>
      <xdr:colOff>723899</xdr:colOff>
      <xdr:row>11</xdr:row>
      <xdr:rowOff>53340</xdr:rowOff>
    </xdr:from>
    <xdr:to>
      <xdr:col>18</xdr:col>
      <xdr:colOff>777240</xdr:colOff>
      <xdr:row>29</xdr:row>
      <xdr:rowOff>76200</xdr:rowOff>
    </xdr:to>
    <xdr:pic>
      <xdr:nvPicPr>
        <xdr:cNvPr id="3" name="Imagen 2" descr="Diagrama&#10;&#10;Descripción generada automáticamente">
          <a:extLst>
            <a:ext uri="{FF2B5EF4-FFF2-40B4-BE49-F238E27FC236}">
              <a16:creationId xmlns:a16="http://schemas.microsoft.com/office/drawing/2014/main" id="{BF91A7A6-BCA6-42BA-960B-5F19E2FBA24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16717" t="23771" r="19028" b="1672"/>
        <a:stretch/>
      </xdr:blipFill>
      <xdr:spPr>
        <a:xfrm>
          <a:off x="13952219" y="2156460"/>
          <a:ext cx="5067301" cy="3436620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AB8AA3-F689-4BB6-AF0C-01EDC88912A8}">
  <sheetPr codeName="Hoja6"/>
  <dimension ref="A1:S58"/>
  <sheetViews>
    <sheetView topLeftCell="A30" zoomScale="85" zoomScaleNormal="85" workbookViewId="0">
      <selection activeCell="F15" sqref="F15"/>
    </sheetView>
  </sheetViews>
  <sheetFormatPr baseColWidth="10" defaultRowHeight="14.4" x14ac:dyDescent="0.3"/>
  <cols>
    <col min="1" max="1" width="39.33203125" bestFit="1" customWidth="1"/>
    <col min="2" max="3" width="13.44140625" bestFit="1" customWidth="1"/>
    <col min="4" max="4" width="14.109375" bestFit="1" customWidth="1"/>
    <col min="7" max="7" width="14.109375" bestFit="1" customWidth="1"/>
    <col min="11" max="11" width="39.33203125" bestFit="1" customWidth="1"/>
    <col min="12" max="12" width="12.21875" bestFit="1" customWidth="1"/>
    <col min="13" max="13" width="12.77734375" bestFit="1" customWidth="1"/>
    <col min="17" max="17" width="14.109375" bestFit="1" customWidth="1"/>
  </cols>
  <sheetData>
    <row r="1" spans="1:12" x14ac:dyDescent="0.3">
      <c r="A1" s="71" t="s">
        <v>0</v>
      </c>
      <c r="B1" s="72"/>
      <c r="C1" s="72"/>
      <c r="D1" s="72"/>
      <c r="E1" s="72"/>
      <c r="F1" s="72"/>
      <c r="G1" s="72"/>
      <c r="H1" s="73"/>
      <c r="J1" s="77" t="s">
        <v>1</v>
      </c>
      <c r="K1" s="77"/>
    </row>
    <row r="2" spans="1:12" ht="15" thickBot="1" x14ac:dyDescent="0.35">
      <c r="A2" s="74"/>
      <c r="B2" s="75"/>
      <c r="C2" s="75"/>
      <c r="D2" s="75"/>
      <c r="E2" s="75"/>
      <c r="F2" s="75"/>
      <c r="G2" s="75"/>
      <c r="H2" s="76"/>
      <c r="J2" s="78" t="s">
        <v>2</v>
      </c>
      <c r="K2" s="78"/>
    </row>
    <row r="3" spans="1:12" ht="15" thickBot="1" x14ac:dyDescent="0.35"/>
    <row r="4" spans="1:12" ht="15" thickBot="1" x14ac:dyDescent="0.35">
      <c r="A4" s="79" t="s">
        <v>71</v>
      </c>
      <c r="B4" s="80"/>
      <c r="C4" s="81"/>
      <c r="E4" s="79" t="s">
        <v>3</v>
      </c>
      <c r="F4" s="81"/>
      <c r="H4" s="1" t="s">
        <v>4</v>
      </c>
      <c r="I4" s="2">
        <f>COS(C10)-F5-(F6*COS(C10))+F7</f>
        <v>-1.2206787253656541</v>
      </c>
      <c r="K4" s="79" t="s">
        <v>5</v>
      </c>
      <c r="L4" s="81"/>
    </row>
    <row r="5" spans="1:12" ht="15" thickTop="1" x14ac:dyDescent="0.3">
      <c r="A5" s="3" t="s">
        <v>6</v>
      </c>
      <c r="B5" s="4" t="s">
        <v>7</v>
      </c>
      <c r="C5" s="5">
        <v>6.625</v>
      </c>
      <c r="E5" s="6" t="s">
        <v>8</v>
      </c>
      <c r="F5" s="7">
        <f>C8/C5</f>
        <v>3.7026415094339624</v>
      </c>
      <c r="H5" s="8" t="s">
        <v>9</v>
      </c>
      <c r="I5" s="9">
        <f>-2*SIN(C10)</f>
        <v>-0.29216605712482324</v>
      </c>
      <c r="K5" s="10" t="s">
        <v>10</v>
      </c>
      <c r="L5" s="11">
        <f>MIN(C5:C8)</f>
        <v>6.625</v>
      </c>
    </row>
    <row r="6" spans="1:12" x14ac:dyDescent="0.3">
      <c r="A6" s="3" t="s">
        <v>11</v>
      </c>
      <c r="B6" s="4" t="s">
        <v>12</v>
      </c>
      <c r="C6" s="5">
        <v>25.46</v>
      </c>
      <c r="E6" s="6" t="s">
        <v>13</v>
      </c>
      <c r="F6" s="7">
        <f>C8/C7</f>
        <v>0.80611238908971417</v>
      </c>
      <c r="H6" s="8" t="s">
        <v>14</v>
      </c>
      <c r="I6" s="9">
        <f>F5-(F6+1)*COS(C10)+F7</f>
        <v>4.2060596275762938</v>
      </c>
      <c r="K6" s="10" t="s">
        <v>15</v>
      </c>
      <c r="L6" s="11">
        <f>MAX(C5:C8)</f>
        <v>30.43</v>
      </c>
    </row>
    <row r="7" spans="1:12" x14ac:dyDescent="0.3">
      <c r="A7" s="3" t="s">
        <v>16</v>
      </c>
      <c r="B7" s="4" t="s">
        <v>17</v>
      </c>
      <c r="C7" s="5">
        <v>30.43</v>
      </c>
      <c r="E7" s="6" t="s">
        <v>18</v>
      </c>
      <c r="F7" s="7">
        <f>(C5^(2)-C6^(2)+C7^(2)+C8^(2))/(2*C5*C7)</f>
        <v>2.2901551348904694</v>
      </c>
      <c r="H7" s="8" t="s">
        <v>19</v>
      </c>
      <c r="I7" s="9">
        <f>COS(C10)-F5+(F8*COS(C10)+F9)</f>
        <v>-2.8506246809531426</v>
      </c>
      <c r="K7" s="10" t="s">
        <v>20</v>
      </c>
      <c r="L7" s="11">
        <f>ABS((L5+L6)-SUM(C5:C8))</f>
        <v>49.99</v>
      </c>
    </row>
    <row r="8" spans="1:12" ht="15" thickBot="1" x14ac:dyDescent="0.35">
      <c r="A8" s="3" t="s">
        <v>21</v>
      </c>
      <c r="B8" s="4" t="s">
        <v>22</v>
      </c>
      <c r="C8" s="5">
        <v>24.53</v>
      </c>
      <c r="E8" s="6" t="s">
        <v>23</v>
      </c>
      <c r="F8" s="7">
        <f>C8/C6</f>
        <v>0.96347211311861747</v>
      </c>
      <c r="H8" s="8" t="s">
        <v>24</v>
      </c>
      <c r="I8" s="9">
        <f>-2*SIN(C10)</f>
        <v>-0.29216605712482324</v>
      </c>
      <c r="K8" s="12" t="s">
        <v>25</v>
      </c>
      <c r="L8" s="13">
        <f>L5+L6</f>
        <v>37.055</v>
      </c>
    </row>
    <row r="9" spans="1:12" ht="15.6" thickTop="1" thickBot="1" x14ac:dyDescent="0.35">
      <c r="A9" s="64" t="s">
        <v>26</v>
      </c>
      <c r="B9" s="4" t="s">
        <v>27</v>
      </c>
      <c r="C9" s="50">
        <v>8.4</v>
      </c>
      <c r="E9" s="14" t="s">
        <v>28</v>
      </c>
      <c r="F9" s="15">
        <f>(C7^(2)-C8^(2)-C5^(2)-C6^(2))/(2*C5*C6)</f>
        <v>-1.0903918095718035</v>
      </c>
      <c r="H9" s="16" t="s">
        <v>29</v>
      </c>
      <c r="I9" s="17">
        <f>F5+(F8-1)*COS(C10)+F9</f>
        <v>2.5761136719888054</v>
      </c>
    </row>
    <row r="10" spans="1:12" ht="15.6" thickTop="1" thickBot="1" x14ac:dyDescent="0.35">
      <c r="A10" s="65"/>
      <c r="B10" s="18" t="s">
        <v>30</v>
      </c>
      <c r="C10" s="19">
        <f>RADIANS(C9)</f>
        <v>0.14660765716752369</v>
      </c>
      <c r="K10" s="20" t="s">
        <v>2</v>
      </c>
      <c r="L10" s="21" t="str">
        <f>IF(L8&lt;L7,"GRASHOF",IF(L8&gt;L7,"NO GRASHOF","ESPECIAL GRASHOF"))</f>
        <v>GRASHOF</v>
      </c>
    </row>
    <row r="11" spans="1:12" ht="16.2" customHeight="1" thickBot="1" x14ac:dyDescent="4.2">
      <c r="A11" s="57" t="s">
        <v>31</v>
      </c>
      <c r="B11" s="59">
        <v>0.6</v>
      </c>
      <c r="C11" s="54">
        <f>RADIANS(B11)</f>
        <v>1.0471975511965976E-2</v>
      </c>
      <c r="G11" s="22"/>
    </row>
    <row r="12" spans="1:12" ht="15" thickBot="1" x14ac:dyDescent="0.35">
      <c r="A12" s="57" t="s">
        <v>32</v>
      </c>
      <c r="B12" s="59">
        <v>0</v>
      </c>
      <c r="C12" s="54">
        <f>RADIANS(B12)</f>
        <v>0</v>
      </c>
    </row>
    <row r="13" spans="1:12" ht="15" thickBot="1" x14ac:dyDescent="0.35">
      <c r="A13" s="66" t="s">
        <v>33</v>
      </c>
      <c r="B13" s="67"/>
      <c r="C13" s="23">
        <v>0</v>
      </c>
    </row>
    <row r="14" spans="1:12" ht="15" thickBot="1" x14ac:dyDescent="0.35"/>
    <row r="15" spans="1:12" ht="15" thickBot="1" x14ac:dyDescent="0.35">
      <c r="A15" s="24" t="s">
        <v>34</v>
      </c>
      <c r="B15" s="25" t="s">
        <v>35</v>
      </c>
      <c r="C15" s="26" t="s">
        <v>36</v>
      </c>
      <c r="D15" s="26" t="s">
        <v>72</v>
      </c>
      <c r="E15" s="49"/>
      <c r="F15" s="49"/>
    </row>
    <row r="16" spans="1:12" ht="15" thickTop="1" x14ac:dyDescent="0.3">
      <c r="A16" s="27" t="s">
        <v>37</v>
      </c>
      <c r="B16" s="28">
        <f>2*ATAN(((-I5+SQRT(I5^2-4*(I4*I6)))/(2*I4)))</f>
        <v>-2.2061434121511363</v>
      </c>
      <c r="C16" s="29">
        <f>2*ATAN(((-I5-SQRT(I5^2-4*(I4*I6)))/(2*I4)))</f>
        <v>2.0985707814237204</v>
      </c>
      <c r="D16" s="50">
        <f>RADIANS(D17)</f>
        <v>2.3387411976724017</v>
      </c>
    </row>
    <row r="17" spans="1:11" x14ac:dyDescent="0.3">
      <c r="A17" s="27" t="s">
        <v>38</v>
      </c>
      <c r="B17" s="30">
        <f>DEGREES(B16)</f>
        <v>-126.4027065168506</v>
      </c>
      <c r="C17" s="31">
        <f>DEGREES(C16)</f>
        <v>120.23924878505036</v>
      </c>
      <c r="D17" s="52">
        <f>180-30-16</f>
        <v>134</v>
      </c>
      <c r="E17" s="49"/>
      <c r="F17" s="49"/>
    </row>
    <row r="18" spans="1:11" x14ac:dyDescent="0.3">
      <c r="A18" s="30" t="s">
        <v>39</v>
      </c>
      <c r="B18" s="28">
        <f>2*ATAN(((-I8+SQRT(I8^2-4*(I7*I9)))/(2*I7)))</f>
        <v>-1.5740493919393856</v>
      </c>
      <c r="C18" s="29">
        <f>2*ATAN(((-I8-SQRT(I8^2-4*(I7*I9)))/(2*I7)))</f>
        <v>1.4664767612119698</v>
      </c>
      <c r="D18" s="50">
        <f>RADIANS(D19)</f>
        <v>1.0471975511965976</v>
      </c>
    </row>
    <row r="19" spans="1:11" ht="15" thickBot="1" x14ac:dyDescent="0.35">
      <c r="A19" s="32" t="s">
        <v>40</v>
      </c>
      <c r="B19" s="33">
        <f>DEGREES(B18)</f>
        <v>-90.186386903260342</v>
      </c>
      <c r="C19" s="34">
        <f>DEGREES(C18)</f>
        <v>84.022929171460092</v>
      </c>
      <c r="D19" s="51">
        <f>180-120</f>
        <v>60</v>
      </c>
    </row>
    <row r="21" spans="1:11" ht="15" thickBot="1" x14ac:dyDescent="0.35"/>
    <row r="22" spans="1:11" ht="15" thickBot="1" x14ac:dyDescent="0.35">
      <c r="A22" s="68" t="s">
        <v>41</v>
      </c>
      <c r="B22" s="69">
        <f>ABS(B17-B19)</f>
        <v>36.216319613590258</v>
      </c>
      <c r="C22" s="35" t="s">
        <v>42</v>
      </c>
    </row>
    <row r="23" spans="1:11" ht="15.6" thickTop="1" thickBot="1" x14ac:dyDescent="0.35">
      <c r="A23" s="65"/>
      <c r="B23" s="70"/>
      <c r="C23" s="36" t="str">
        <f>IF(B22&gt;90,B22-PI(),"NA")</f>
        <v>NA</v>
      </c>
    </row>
    <row r="24" spans="1:11" ht="15" thickBot="1" x14ac:dyDescent="0.35"/>
    <row r="25" spans="1:11" ht="15" thickBot="1" x14ac:dyDescent="0.35">
      <c r="A25" s="24" t="s">
        <v>43</v>
      </c>
      <c r="B25" s="25" t="s">
        <v>44</v>
      </c>
      <c r="C25" s="26" t="s">
        <v>30</v>
      </c>
    </row>
    <row r="26" spans="1:11" ht="15" thickTop="1" x14ac:dyDescent="0.3">
      <c r="A26" s="27" t="s">
        <v>45</v>
      </c>
      <c r="B26" s="37">
        <f>DEGREES(C26)</f>
        <v>35.997533770550262</v>
      </c>
      <c r="C26" s="38">
        <f>ACOS(((C6^2)+(C7^2)-(C8-C5)^2)/(2*C6*C7))</f>
        <v>0.62827548689395107</v>
      </c>
    </row>
    <row r="27" spans="1:11" ht="15" thickBot="1" x14ac:dyDescent="0.35">
      <c r="A27" s="32" t="s">
        <v>46</v>
      </c>
      <c r="B27" s="39">
        <f>DEGREES(C27)</f>
        <v>112.92475409184173</v>
      </c>
      <c r="C27" s="40">
        <f>PI()-ACOS(((C6^2)+(C7^2)-(C8+C5)^2)/(2*C6*C7))</f>
        <v>1.9709087659075775</v>
      </c>
    </row>
    <row r="28" spans="1:11" ht="15" thickBot="1" x14ac:dyDescent="0.35"/>
    <row r="29" spans="1:11" ht="15" thickBot="1" x14ac:dyDescent="0.35">
      <c r="A29" s="68" t="s">
        <v>47</v>
      </c>
      <c r="B29" s="25" t="s">
        <v>48</v>
      </c>
      <c r="C29" s="26" t="s">
        <v>49</v>
      </c>
    </row>
    <row r="30" spans="1:11" ht="15.6" thickTop="1" thickBot="1" x14ac:dyDescent="0.35">
      <c r="A30" s="65"/>
      <c r="B30" s="41" t="e">
        <f>ACOS((C5^2 + C8^2 - C6^2 - C7^2) / (2*C5*C8) + C6*C7 / (C5*C8))</f>
        <v>#NUM!</v>
      </c>
      <c r="C30" s="42" t="e">
        <f>ACOS((C5^2 + C8^2 - C6^2 - C7^2) / (2*C5*C8) - C6*C7 / (C5*C8))</f>
        <v>#NUM!</v>
      </c>
    </row>
    <row r="31" spans="1:11" ht="15" thickBot="1" x14ac:dyDescent="0.35"/>
    <row r="32" spans="1:11" ht="15" thickBot="1" x14ac:dyDescent="0.35">
      <c r="A32" s="24" t="s">
        <v>50</v>
      </c>
      <c r="K32" s="24" t="s">
        <v>51</v>
      </c>
    </row>
    <row r="33" spans="1:19" ht="15" thickTop="1" x14ac:dyDescent="0.3">
      <c r="A33" s="43" t="s">
        <v>52</v>
      </c>
      <c r="B33" s="44">
        <f>(C5*C11/C6)*(SIN(RADIANS(B17-C9))/SIN(RADIANS(B19-B17)))</f>
        <v>-3.2723884361485238E-3</v>
      </c>
      <c r="K33" s="43" t="s">
        <v>52</v>
      </c>
      <c r="L33" s="44">
        <f>(C5*C11/C6)*(SIN(RADIANS(C17-C9))/SIN(RADIANS(C19-C17)))</f>
        <v>-4.281004604005126E-3</v>
      </c>
    </row>
    <row r="34" spans="1:19" ht="15" thickBot="1" x14ac:dyDescent="0.35">
      <c r="A34" s="43" t="s">
        <v>53</v>
      </c>
      <c r="B34" s="44">
        <f>(C5*C11/C7)*(SIN(RADIANS(C9-B19))/SIN(RADIANS(B17-B19)))</f>
        <v>-3.8154947928979439E-3</v>
      </c>
      <c r="K34" s="43" t="s">
        <v>53</v>
      </c>
      <c r="L34" s="44">
        <f>(C5*C11/C7)*(SIN(RADIANS(C9-C19))/SIN(RADIANS(C17-C19)))</f>
        <v>-3.737898247255708E-3</v>
      </c>
    </row>
    <row r="35" spans="1:19" ht="15" thickBot="1" x14ac:dyDescent="0.35">
      <c r="A35" s="24" t="s">
        <v>54</v>
      </c>
      <c r="B35" s="45" t="s">
        <v>55</v>
      </c>
      <c r="C35" s="45" t="s">
        <v>56</v>
      </c>
      <c r="D35" s="45" t="s">
        <v>57</v>
      </c>
      <c r="E35" s="45" t="s">
        <v>58</v>
      </c>
      <c r="F35" s="45" t="s">
        <v>59</v>
      </c>
      <c r="K35" s="24" t="s">
        <v>54</v>
      </c>
      <c r="L35" s="45" t="s">
        <v>55</v>
      </c>
      <c r="M35" s="45" t="s">
        <v>56</v>
      </c>
      <c r="N35" s="45" t="s">
        <v>57</v>
      </c>
      <c r="O35" s="45" t="s">
        <v>58</v>
      </c>
      <c r="P35" s="45" t="s">
        <v>59</v>
      </c>
    </row>
    <row r="36" spans="1:19" ht="15" thickTop="1" x14ac:dyDescent="0.3">
      <c r="A36" s="43" t="s">
        <v>60</v>
      </c>
      <c r="B36" s="44">
        <f>C5*C11*(-SIN(RADIANS(C9)))</f>
        <v>-1.0134778573053531E-2</v>
      </c>
      <c r="C36" s="44">
        <f>C5*C11*(COS(RADIANS(C9)))</f>
        <v>6.8632586151131866E-2</v>
      </c>
      <c r="D36" s="44">
        <f>SQRT(B36^2 + C36^2)</f>
        <v>6.9376837766774599E-2</v>
      </c>
      <c r="E36" s="47">
        <f>IF(F36&gt;=0,IF(C36&lt;0,180+F36,F36),IF(C36&gt;=0,180+F36,F36))</f>
        <v>98.4</v>
      </c>
      <c r="F36" s="44">
        <f>ATAN(C36/B36)/(PI())*180</f>
        <v>-81.599999999999994</v>
      </c>
      <c r="K36" s="43" t="s">
        <v>60</v>
      </c>
      <c r="L36" s="44">
        <f>C5*C11*(-SIN(RADIANS(C9)))</f>
        <v>-1.0134778573053531E-2</v>
      </c>
      <c r="M36" s="44">
        <f>C5*C11*(COS(RADIANS(C9)))</f>
        <v>6.8632586151131866E-2</v>
      </c>
      <c r="N36" s="44">
        <f>SQRT(L36^2 + M36^2)</f>
        <v>6.9376837766774599E-2</v>
      </c>
      <c r="O36" s="47">
        <f>IF(P36&gt;=0,IF(M36&lt;0,180+P36,P36),IF(M36&gt;=0,180+P36,P36))</f>
        <v>98.4</v>
      </c>
      <c r="P36" s="44">
        <f>ATAN(M36/L36)/(PI())*180</f>
        <v>-81.599999999999994</v>
      </c>
    </row>
    <row r="37" spans="1:19" x14ac:dyDescent="0.3">
      <c r="A37" s="43" t="s">
        <v>61</v>
      </c>
      <c r="B37" s="44">
        <f>C6*B33*(-SIN(RADIANS(B19)))</f>
        <v>-8.3314568746983675E-2</v>
      </c>
      <c r="C37" s="44">
        <f>C6*B33*(COS(RADIANS(B19)))</f>
        <v>2.7102867566720728E-4</v>
      </c>
      <c r="D37" s="44">
        <f t="shared" ref="D37:D38" si="0">SQRT(B37^2 + C37^2)</f>
        <v>8.3315009584341418E-2</v>
      </c>
      <c r="E37" s="46">
        <f t="shared" ref="E37:E38" si="1">IF(F37&gt;=0,IF(C37&lt;0,180+F37,F37),IF(C37&gt;=0,180+F37,F37))</f>
        <v>179.81361309673966</v>
      </c>
      <c r="F37" s="44">
        <f>ATAN(C37/B37)/(PI())*180</f>
        <v>-0.1863869032603365</v>
      </c>
      <c r="K37" s="43" t="s">
        <v>61</v>
      </c>
      <c r="L37" s="44">
        <f>C6*B33*(-SIN(RADIANS(C19)))</f>
        <v>8.2862079775983852E-2</v>
      </c>
      <c r="M37" s="44">
        <f>C6*B33*(COS(RADIANS(C19)))</f>
        <v>-8.6756300772561617E-3</v>
      </c>
      <c r="N37" s="44">
        <f t="shared" ref="N37:N38" si="2">SQRT(L37^2 + M37^2)</f>
        <v>8.3315009584341432E-2</v>
      </c>
      <c r="O37" s="46">
        <f t="shared" ref="O37:O38" si="3">IF(P37&gt;=0,IF(M37&lt;0,180+P37,P37),IF(M37&gt;=0,180+P37,P37))</f>
        <v>-5.9770708285399063</v>
      </c>
      <c r="P37" s="44">
        <f>ATAN(M37/L37)/(PI())*180</f>
        <v>-5.9770708285399063</v>
      </c>
    </row>
    <row r="38" spans="1:19" ht="15" thickBot="1" x14ac:dyDescent="0.35">
      <c r="A38" s="43" t="s">
        <v>62</v>
      </c>
      <c r="B38" s="44">
        <f>C7*B34*(-SIN(RADIANS(B17)))</f>
        <v>-9.3449347320037221E-2</v>
      </c>
      <c r="C38" s="44">
        <f>C7*B34*(COS(RADIANS(B17)))</f>
        <v>6.8903614826799076E-2</v>
      </c>
      <c r="D38" s="44">
        <f t="shared" si="0"/>
        <v>0.11610550654788442</v>
      </c>
      <c r="E38" s="46">
        <f t="shared" si="1"/>
        <v>143.5972934831494</v>
      </c>
      <c r="F38" s="44">
        <f t="shared" ref="F38" si="4">ATAN(C38/B38)/(PI())*180</f>
        <v>-36.4027065168506</v>
      </c>
      <c r="K38" s="43" t="s">
        <v>62</v>
      </c>
      <c r="L38" s="44">
        <f>C7*B34*(-SIN(RADIANS(C17)))</f>
        <v>0.10030703261842215</v>
      </c>
      <c r="M38" s="44">
        <f>C7*B34*(COS(RADIANS(C17)))</f>
        <v>5.8472111797228839E-2</v>
      </c>
      <c r="N38" s="44">
        <f t="shared" si="2"/>
        <v>0.11610550654788443</v>
      </c>
      <c r="O38" s="46">
        <f t="shared" si="3"/>
        <v>30.239248785050357</v>
      </c>
      <c r="P38" s="44">
        <f t="shared" ref="P38" si="5">ATAN(M38/L38)/(PI())*180</f>
        <v>30.239248785050357</v>
      </c>
    </row>
    <row r="39" spans="1:19" ht="15" thickBot="1" x14ac:dyDescent="0.35">
      <c r="A39" s="24" t="s">
        <v>63</v>
      </c>
      <c r="B39" s="45" t="s">
        <v>55</v>
      </c>
      <c r="C39" s="45" t="s">
        <v>56</v>
      </c>
      <c r="D39" s="45" t="s">
        <v>57</v>
      </c>
      <c r="E39" s="45" t="s">
        <v>58</v>
      </c>
      <c r="F39" s="48"/>
      <c r="K39" s="24" t="s">
        <v>63</v>
      </c>
      <c r="L39" s="45" t="s">
        <v>55</v>
      </c>
      <c r="M39" s="45" t="s">
        <v>56</v>
      </c>
      <c r="N39" s="45" t="s">
        <v>57</v>
      </c>
      <c r="O39" s="45" t="s">
        <v>58</v>
      </c>
      <c r="P39" s="48"/>
    </row>
    <row r="40" spans="1:19" ht="15" thickTop="1" x14ac:dyDescent="0.3">
      <c r="A40" s="43" t="s">
        <v>60</v>
      </c>
      <c r="B40" s="44">
        <f>$C$13+B36</f>
        <v>-1.0134778573053531E-2</v>
      </c>
      <c r="C40" s="44">
        <f>$C$13+C36</f>
        <v>6.8632586151131866E-2</v>
      </c>
      <c r="D40" s="44">
        <f>D36</f>
        <v>6.9376837766774599E-2</v>
      </c>
      <c r="E40" s="46">
        <f>E36+RADIANS(C13)</f>
        <v>98.4</v>
      </c>
      <c r="F40" s="48"/>
      <c r="K40" s="43" t="s">
        <v>60</v>
      </c>
      <c r="L40" s="44">
        <f>$C$13+L36</f>
        <v>-1.0134778573053531E-2</v>
      </c>
      <c r="M40" s="44">
        <f>$C$13+M36</f>
        <v>6.8632586151131866E-2</v>
      </c>
      <c r="N40" s="44">
        <f>N36</f>
        <v>6.9376837766774599E-2</v>
      </c>
      <c r="O40" s="46">
        <f>O36+RADIANS(M13)</f>
        <v>98.4</v>
      </c>
      <c r="P40" s="48"/>
    </row>
    <row r="41" spans="1:19" x14ac:dyDescent="0.3">
      <c r="A41" s="43" t="s">
        <v>61</v>
      </c>
      <c r="B41" s="44">
        <f t="shared" ref="B41:C42" si="6">$C$13+B37</f>
        <v>-8.3314568746983675E-2</v>
      </c>
      <c r="C41" s="44">
        <f t="shared" si="6"/>
        <v>2.7102867566720728E-4</v>
      </c>
      <c r="D41" s="44">
        <f t="shared" ref="D41:D42" si="7">D37</f>
        <v>8.3315009584341418E-2</v>
      </c>
      <c r="E41" s="46">
        <f>E37+RADIANS(C13)</f>
        <v>179.81361309673966</v>
      </c>
      <c r="F41" s="48"/>
      <c r="K41" s="43" t="s">
        <v>61</v>
      </c>
      <c r="L41" s="44">
        <f t="shared" ref="L41:M42" si="8">$C$13+L37</f>
        <v>8.2862079775983852E-2</v>
      </c>
      <c r="M41" s="44">
        <f t="shared" si="8"/>
        <v>-8.6756300772561617E-3</v>
      </c>
      <c r="N41" s="44">
        <f t="shared" ref="N41:N42" si="9">N37</f>
        <v>8.3315009584341432E-2</v>
      </c>
      <c r="O41" s="46">
        <f>O37+RADIANS(M13)</f>
        <v>-5.9770708285399063</v>
      </c>
      <c r="P41" s="48"/>
    </row>
    <row r="42" spans="1:19" ht="15" thickBot="1" x14ac:dyDescent="0.35">
      <c r="A42" s="43" t="s">
        <v>62</v>
      </c>
      <c r="B42" s="44">
        <f t="shared" si="6"/>
        <v>-9.3449347320037221E-2</v>
      </c>
      <c r="C42" s="44">
        <f t="shared" si="6"/>
        <v>6.8903614826799076E-2</v>
      </c>
      <c r="D42" s="44">
        <f t="shared" si="7"/>
        <v>0.11610550654788442</v>
      </c>
      <c r="E42" s="46">
        <f>E38+RADIANS(C13)</f>
        <v>143.5972934831494</v>
      </c>
      <c r="F42" s="48"/>
      <c r="K42" s="43" t="s">
        <v>62</v>
      </c>
      <c r="L42" s="44">
        <f t="shared" si="8"/>
        <v>0.10030703261842215</v>
      </c>
      <c r="M42" s="44">
        <f t="shared" si="8"/>
        <v>5.8472111797228839E-2</v>
      </c>
      <c r="N42" s="44">
        <f t="shared" si="9"/>
        <v>0.11610550654788443</v>
      </c>
      <c r="O42" s="46">
        <f>O38+RADIANS(M13)</f>
        <v>30.239248785050357</v>
      </c>
      <c r="P42" s="48"/>
    </row>
    <row r="43" spans="1:19" ht="15" thickBot="1" x14ac:dyDescent="0.35">
      <c r="A43" s="24" t="s">
        <v>73</v>
      </c>
      <c r="B43" s="45" t="s">
        <v>55</v>
      </c>
      <c r="C43" s="45" t="s">
        <v>56</v>
      </c>
      <c r="D43" s="45" t="s">
        <v>57</v>
      </c>
      <c r="E43" s="45" t="s">
        <v>58</v>
      </c>
      <c r="F43" s="45" t="s">
        <v>59</v>
      </c>
      <c r="K43" s="24" t="s">
        <v>73</v>
      </c>
      <c r="L43" s="45" t="s">
        <v>55</v>
      </c>
      <c r="M43" s="45" t="s">
        <v>56</v>
      </c>
      <c r="N43" s="45" t="s">
        <v>57</v>
      </c>
      <c r="O43" s="45" t="s">
        <v>58</v>
      </c>
      <c r="P43" s="45" t="s">
        <v>59</v>
      </c>
    </row>
    <row r="44" spans="1:19" ht="15" thickTop="1" x14ac:dyDescent="0.3">
      <c r="A44" s="58" t="s">
        <v>60</v>
      </c>
      <c r="B44" s="53">
        <f>-0.04716</f>
        <v>-4.7160000000000001E-2</v>
      </c>
      <c r="C44" s="53">
        <f>0.09433</f>
        <v>9.4329999999999997E-2</v>
      </c>
      <c r="D44" s="53">
        <f>SQRT(B44^2 + C44^2)</f>
        <v>0.10546191018562104</v>
      </c>
      <c r="E44" s="55">
        <f>IF(F44&gt;=0,IF(C44&lt;0,180+F44,F44),IF(C44&gt;=0,180+F44,F44))</f>
        <v>116.56262153669641</v>
      </c>
      <c r="F44" s="53">
        <f>ATAN(C44/B44)/(PI())*180</f>
        <v>-63.437378463303595</v>
      </c>
      <c r="K44" s="58" t="s">
        <v>60</v>
      </c>
      <c r="L44" s="53">
        <f>B44</f>
        <v>-4.7160000000000001E-2</v>
      </c>
      <c r="M44" s="53">
        <f>C44</f>
        <v>9.4329999999999997E-2</v>
      </c>
      <c r="N44" s="53">
        <f>SQRT(L44^2 + M44^2)</f>
        <v>0.10546191018562104</v>
      </c>
      <c r="O44" s="55">
        <f>IF(P44&gt;=0,IF(M44&lt;0,180+P44,P44),IF(M44&gt;=0,180+P44,P44))</f>
        <v>116.56262153669641</v>
      </c>
      <c r="P44" s="53">
        <f>ATAN(M44/L44)/(PI())*180</f>
        <v>-63.437378463303595</v>
      </c>
    </row>
    <row r="45" spans="1:19" x14ac:dyDescent="0.3">
      <c r="A45" s="58" t="s">
        <v>61</v>
      </c>
      <c r="B45" s="60">
        <f>-0.08272</f>
        <v>-8.2720000000000002E-2</v>
      </c>
      <c r="C45" s="53">
        <f>-0.08001</f>
        <v>-8.0009999999999998E-2</v>
      </c>
      <c r="D45" s="53">
        <f t="shared" ref="D45:D46" si="10">SQRT(B45^2 + C45^2)</f>
        <v>0.1150834414674848</v>
      </c>
      <c r="E45" s="56">
        <f t="shared" ref="E45:E46" si="11">IF(F45&gt;=0,IF(C45&lt;0,180+F45,F45),IF(C45&gt;=0,180+F45,F45))</f>
        <v>224.04592139843004</v>
      </c>
      <c r="F45" s="53">
        <f>ATAN(C45/B45)/(PI())*180</f>
        <v>44.045921398430039</v>
      </c>
      <c r="K45" s="58" t="s">
        <v>61</v>
      </c>
      <c r="L45" s="53">
        <f t="shared" ref="L45:M46" si="12">B45</f>
        <v>-8.2720000000000002E-2</v>
      </c>
      <c r="M45" s="53">
        <f t="shared" si="12"/>
        <v>-8.0009999999999998E-2</v>
      </c>
      <c r="N45" s="53">
        <f t="shared" ref="N45:N46" si="13">SQRT(L45^2 + M45^2)</f>
        <v>0.1150834414674848</v>
      </c>
      <c r="O45" s="56">
        <f t="shared" ref="O45:O46" si="14">IF(P45&gt;=0,IF(M45&lt;0,180+P45,P45),IF(M45&gt;=0,180+P45,P45))</f>
        <v>224.04592139843004</v>
      </c>
      <c r="P45" s="53">
        <f>ATAN(M45/L45)/(PI())*180</f>
        <v>44.045921398430039</v>
      </c>
    </row>
    <row r="46" spans="1:19" x14ac:dyDescent="0.3">
      <c r="A46" s="58" t="s">
        <v>62</v>
      </c>
      <c r="B46" s="53">
        <f>-0.09302</f>
        <v>-9.3020000000000005E-2</v>
      </c>
      <c r="C46" s="53">
        <v>0.112</v>
      </c>
      <c r="D46" s="53">
        <f t="shared" si="10"/>
        <v>0.14559093515737853</v>
      </c>
      <c r="E46" s="56">
        <f t="shared" si="11"/>
        <v>129.71084242518435</v>
      </c>
      <c r="F46" s="53">
        <f t="shared" ref="F46" si="15">ATAN(C46/B46)/(PI())*180</f>
        <v>-50.289157574815654</v>
      </c>
      <c r="K46" s="58" t="s">
        <v>62</v>
      </c>
      <c r="L46" s="53">
        <f t="shared" si="12"/>
        <v>-9.3020000000000005E-2</v>
      </c>
      <c r="M46" s="53">
        <f t="shared" si="12"/>
        <v>0.112</v>
      </c>
      <c r="N46" s="53">
        <f t="shared" si="13"/>
        <v>0.14559093515737853</v>
      </c>
      <c r="O46" s="56">
        <f t="shared" si="14"/>
        <v>129.71084242518435</v>
      </c>
      <c r="P46" s="53">
        <f t="shared" ref="P46" si="16">ATAN(M46/L46)/(PI())*180</f>
        <v>-50.289157574815654</v>
      </c>
    </row>
    <row r="47" spans="1:19" ht="15" thickBot="1" x14ac:dyDescent="0.35"/>
    <row r="48" spans="1:19" ht="15" thickBot="1" x14ac:dyDescent="0.35">
      <c r="A48" s="24" t="s">
        <v>64</v>
      </c>
      <c r="H48" s="1" t="s">
        <v>4</v>
      </c>
      <c r="I48" s="2">
        <f>C7*SIN(B16)</f>
        <v>-24.492065221522839</v>
      </c>
      <c r="K48" s="24" t="s">
        <v>64</v>
      </c>
      <c r="R48" s="1" t="s">
        <v>4</v>
      </c>
      <c r="S48" s="2">
        <f>C7*SIN(C16)</f>
        <v>26.289390514994512</v>
      </c>
    </row>
    <row r="49" spans="1:19" ht="15" thickTop="1" x14ac:dyDescent="0.3">
      <c r="A49" s="43" t="s">
        <v>65</v>
      </c>
      <c r="B49" s="44">
        <f>(I50*I51-I48*I53)/(I48*I52-I49*I51)</f>
        <v>4.8860128111208914E-5</v>
      </c>
      <c r="H49" s="8" t="s">
        <v>9</v>
      </c>
      <c r="I49" s="9">
        <f>C6*SIN(B18)</f>
        <v>-25.459865285748823</v>
      </c>
      <c r="K49" s="43" t="s">
        <v>65</v>
      </c>
      <c r="L49" s="44">
        <f>(S50*S51-S48*S53)/(S48*S52-S49*S51)</f>
        <v>-2.1204761761888579E-5</v>
      </c>
      <c r="R49" s="8" t="s">
        <v>9</v>
      </c>
      <c r="S49" s="9">
        <f>C6*SIN(C18)</f>
        <v>25.321590450768536</v>
      </c>
    </row>
    <row r="50" spans="1:19" ht="15" thickBot="1" x14ac:dyDescent="0.35">
      <c r="A50" s="43" t="s">
        <v>66</v>
      </c>
      <c r="B50" s="44">
        <f>(I50*I52-I49*I53)/(I48*I52-I49*I51)</f>
        <v>1.0747931756590066E-5</v>
      </c>
      <c r="H50" s="8" t="s">
        <v>14</v>
      </c>
      <c r="I50" s="9">
        <f>(C5*C12*SIN(C10))+(C5*C11^2*COS(C10))+(C6*B33^2*COS(B18))-(C7*B34^2*COS(B16))</f>
        <v>9.8073323397692759E-4</v>
      </c>
      <c r="K50" s="43" t="s">
        <v>66</v>
      </c>
      <c r="L50" s="44">
        <f>(S50*S52-S49*S53)/(S48*S52-S49*S51)</f>
        <v>1.6907434592730271E-5</v>
      </c>
      <c r="R50" s="8" t="s">
        <v>14</v>
      </c>
      <c r="S50" s="9">
        <f>(C5*C12*SIN(C10))+(C5*C11^2*COS(C10))+(C6*L33^2*COS(C18))-(C7*L34^2*COS(C16))</f>
        <v>9.8142444355567293E-4</v>
      </c>
    </row>
    <row r="51" spans="1:19" ht="15" thickBot="1" x14ac:dyDescent="0.35">
      <c r="A51" s="24" t="s">
        <v>67</v>
      </c>
      <c r="B51" s="45" t="s">
        <v>55</v>
      </c>
      <c r="C51" s="45" t="s">
        <v>56</v>
      </c>
      <c r="D51" s="45" t="s">
        <v>57</v>
      </c>
      <c r="E51" s="45" t="s">
        <v>58</v>
      </c>
      <c r="F51" s="45" t="s">
        <v>59</v>
      </c>
      <c r="H51" s="8" t="s">
        <v>19</v>
      </c>
      <c r="I51" s="9">
        <f>C7*COS(B16)</f>
        <v>-18.058893686620763</v>
      </c>
      <c r="K51" s="24" t="s">
        <v>67</v>
      </c>
      <c r="L51" s="45" t="s">
        <v>55</v>
      </c>
      <c r="M51" s="45" t="s">
        <v>56</v>
      </c>
      <c r="N51" s="45" t="s">
        <v>57</v>
      </c>
      <c r="O51" s="45" t="s">
        <v>58</v>
      </c>
      <c r="P51" s="45" t="s">
        <v>59</v>
      </c>
      <c r="R51" s="8" t="s">
        <v>19</v>
      </c>
      <c r="S51" s="9">
        <f>C7*COS(C16)</f>
        <v>-15.32490934231314</v>
      </c>
    </row>
    <row r="52" spans="1:19" ht="15" thickTop="1" x14ac:dyDescent="0.3">
      <c r="A52" s="43" t="s">
        <v>68</v>
      </c>
      <c r="B52" s="44">
        <f>-C5*C12*SIN(C10)-C5*C11^2*COS(C10)</f>
        <v>-7.187187614975481E-4</v>
      </c>
      <c r="C52" s="44">
        <f>C5*C12*COS(C10)-C5*C11^2*SIN(C10)</f>
        <v>-1.0613115303621405E-4</v>
      </c>
      <c r="D52" s="44">
        <f>SQRT(B52^2 + C52^2)</f>
        <v>7.2651254619129988E-4</v>
      </c>
      <c r="E52" s="46">
        <f>IF(F52&gt;=0,IF(C52&lt;0,180+F52,F52),IF(C52&gt;=0,180+F52,F52))</f>
        <v>188.4</v>
      </c>
      <c r="F52" s="44">
        <f>ATAN(C52/B52)/(PI())*180</f>
        <v>8.4</v>
      </c>
      <c r="H52" s="8" t="s">
        <v>24</v>
      </c>
      <c r="I52" s="9">
        <f>C6*COS(B18)</f>
        <v>-8.2822892500560741E-2</v>
      </c>
      <c r="K52" s="43" t="s">
        <v>68</v>
      </c>
      <c r="L52" s="44">
        <f>-C5*C12*SIN(C10)-C5*C11^2*COS(C10)</f>
        <v>-7.187187614975481E-4</v>
      </c>
      <c r="M52" s="44">
        <f>C5*C12*COS(C10)-C5*C11^2*SIN(C10)</f>
        <v>-1.0613115303621405E-4</v>
      </c>
      <c r="N52" s="44">
        <f>SQRT(L52^2 + M52^2)</f>
        <v>7.2651254619129988E-4</v>
      </c>
      <c r="O52" s="46">
        <f>IF(P52&gt;=0,IF(M52&lt;0,180+P52,P52),IF(M52&gt;=0,180+P52,P52))</f>
        <v>188.4</v>
      </c>
      <c r="P52" s="44">
        <f>ATAN(M52/L52)/(PI())*180</f>
        <v>8.4</v>
      </c>
      <c r="R52" s="8" t="s">
        <v>24</v>
      </c>
      <c r="S52" s="9">
        <f>C6*COS(C18)</f>
        <v>2.6511614518070621</v>
      </c>
    </row>
    <row r="53" spans="1:19" ht="15" thickBot="1" x14ac:dyDescent="0.35">
      <c r="A53" s="43" t="s">
        <v>69</v>
      </c>
      <c r="B53" s="44">
        <f>-C6*B49*SIN(B18)-C6*B33^2*COS(B18)</f>
        <v>1.2448591906599261E-3</v>
      </c>
      <c r="C53" s="62">
        <f>C6*B49*COS(B18)-C6*B33^2*COS(B18)</f>
        <v>-3.1598260340002639E-6</v>
      </c>
      <c r="D53" s="44">
        <f t="shared" ref="D53:D54" si="17">SQRT(B53^2 + C53^2)</f>
        <v>1.2448632009466145E-3</v>
      </c>
      <c r="E53" s="46">
        <f t="shared" ref="E53:E54" si="18">IF(F53&gt;=0,IF(C53&lt;0,180+F53,F53),IF(C53&gt;=0,180+F53,F53))</f>
        <v>-0.14543356251212339</v>
      </c>
      <c r="F53" s="44">
        <f>ATAN(C53/B53)/(PI())*180</f>
        <v>-0.14543356251212339</v>
      </c>
      <c r="H53" s="16" t="s">
        <v>29</v>
      </c>
      <c r="I53" s="17">
        <f>(C5*C12*COS(C10))-(C5*C11^2*SIN(C10))-(C6*B33^2*SIN(B18))+(C7*B34^2*SIN(B16))</f>
        <v>-1.9004901980519689E-4</v>
      </c>
      <c r="K53" s="43" t="s">
        <v>69</v>
      </c>
      <c r="L53" s="44">
        <f>-C6*L49*SIN(C18)-C6*L33^2*COS(C18)</f>
        <v>4.8835045590119475E-4</v>
      </c>
      <c r="M53" s="44">
        <f>C6*L49*COS(C18)-C6*L33^2*SIN(C18)</f>
        <v>-5.2028604579184494E-4</v>
      </c>
      <c r="N53" s="44">
        <f t="shared" ref="N53:N54" si="19">SQRT(L53^2 + M53^2)</f>
        <v>7.1357111574433727E-4</v>
      </c>
      <c r="O53" s="46">
        <f t="shared" ref="O53:O54" si="20">IF(P53&gt;=0,IF(M53&lt;0,180+P53,P53),IF(M53&gt;=0,180+P53,P53))</f>
        <v>-46.813501134672777</v>
      </c>
      <c r="P53" s="44">
        <f>ATAN(M53/L53)/(PI())*180</f>
        <v>-46.813501134672777</v>
      </c>
      <c r="R53" s="16" t="s">
        <v>29</v>
      </c>
      <c r="S53" s="17">
        <f>(C5*C12*COS(C10))-(C5*C11^2*SIN(C10))-(C6*L33^2*SIN(C18))+(C7*L34^2*SIN(C16))</f>
        <v>-2.0288765536680906E-4</v>
      </c>
    </row>
    <row r="54" spans="1:19" ht="15" thickBot="1" x14ac:dyDescent="0.35">
      <c r="A54" s="43" t="s">
        <v>70</v>
      </c>
      <c r="B54" s="44">
        <f>-C7*B50*SIN(B16)-C7*B34^2*COS(B16)</f>
        <v>5.2614042916237786E-4</v>
      </c>
      <c r="C54" s="63">
        <f>C7*B50*SIN(B16)-C7*B34^2*COS(B16)</f>
        <v>-3.3766199538298389E-7</v>
      </c>
      <c r="D54" s="44">
        <f t="shared" si="17"/>
        <v>5.2614053751330961E-4</v>
      </c>
      <c r="E54" s="46">
        <f t="shared" si="18"/>
        <v>-3.6770800168522723E-2</v>
      </c>
      <c r="F54" s="44">
        <f t="shared" ref="F54" si="21">ATAN(C54/B54)/(PI())*180</f>
        <v>-3.6770800168522723E-2</v>
      </c>
      <c r="K54" s="43" t="s">
        <v>70</v>
      </c>
      <c r="L54" s="44">
        <f>-C7*L50*SIN(C16)-C7*L34^2*COS(C16)</f>
        <v>-2.3036830559635345E-4</v>
      </c>
      <c r="M54" s="44">
        <f>C7*L50*COS(C16)-C7*L34^2*SIN(C16)</f>
        <v>-6.2641719882805904E-4</v>
      </c>
      <c r="N54" s="44">
        <f t="shared" si="19"/>
        <v>6.6743393921116039E-4</v>
      </c>
      <c r="O54" s="46">
        <f t="shared" si="20"/>
        <v>249.80872897335041</v>
      </c>
      <c r="P54" s="44">
        <f t="shared" ref="P54" si="22">ATAN(M54/L54)/(PI())*180</f>
        <v>69.808728973350426</v>
      </c>
    </row>
    <row r="55" spans="1:19" ht="15" thickBot="1" x14ac:dyDescent="0.35">
      <c r="A55" s="24" t="s">
        <v>74</v>
      </c>
      <c r="B55" s="45" t="s">
        <v>55</v>
      </c>
      <c r="C55" s="45" t="s">
        <v>56</v>
      </c>
      <c r="D55" s="45" t="s">
        <v>57</v>
      </c>
      <c r="E55" s="45" t="s">
        <v>58</v>
      </c>
      <c r="F55" s="45" t="s">
        <v>59</v>
      </c>
      <c r="K55" s="24" t="s">
        <v>74</v>
      </c>
      <c r="L55" s="45" t="s">
        <v>55</v>
      </c>
      <c r="M55" s="45" t="s">
        <v>56</v>
      </c>
      <c r="N55" s="45" t="s">
        <v>57</v>
      </c>
      <c r="O55" s="45" t="s">
        <v>58</v>
      </c>
      <c r="P55" s="45" t="s">
        <v>59</v>
      </c>
    </row>
    <row r="56" spans="1:19" ht="15" thickTop="1" x14ac:dyDescent="0.3">
      <c r="A56" s="58" t="s">
        <v>68</v>
      </c>
      <c r="B56" s="53">
        <f>-0.001457</f>
        <v>-1.457E-3</v>
      </c>
      <c r="C56" s="53">
        <f>0.09433</f>
        <v>9.4329999999999997E-2</v>
      </c>
      <c r="D56" s="53">
        <f>SQRT(B56^2 + C56^2)</f>
        <v>9.4341251576391547E-2</v>
      </c>
      <c r="E56" s="55">
        <f>IF(F56&gt;=0,IF(C56&lt;0,180+F56,F56),IF(C56&gt;=0,180+F56,F56))</f>
        <v>90.884907378793969</v>
      </c>
      <c r="F56" s="53">
        <f>ATAN(C56/B56)/(PI())*180</f>
        <v>-89.115092621206031</v>
      </c>
      <c r="K56" s="58" t="s">
        <v>68</v>
      </c>
      <c r="L56" s="53">
        <f>B56</f>
        <v>-1.457E-3</v>
      </c>
      <c r="M56" s="53">
        <f>C56</f>
        <v>9.4329999999999997E-2</v>
      </c>
      <c r="N56" s="53">
        <f>SQRT(L56^2 + M56^2)</f>
        <v>9.4341251576391547E-2</v>
      </c>
      <c r="O56" s="55">
        <f>IF(P56&gt;=0,IF(M56&lt;0,180+P56,P56),IF(M56&gt;=0,180+P56,P56))</f>
        <v>90.884907378793969</v>
      </c>
      <c r="P56" s="53">
        <f>ATAN(M56/L56)/(PI())*180</f>
        <v>-89.115092621206031</v>
      </c>
    </row>
    <row r="57" spans="1:19" x14ac:dyDescent="0.3">
      <c r="A57" s="58" t="s">
        <v>69</v>
      </c>
      <c r="B57" s="61">
        <v>-1.3569999999999999E-4</v>
      </c>
      <c r="C57" s="53">
        <f>-0.0003684</f>
        <v>-3.6840000000000001E-4</v>
      </c>
      <c r="D57" s="53">
        <f>SQRT(B57^2 + C57^2)</f>
        <v>3.925978222048615E-4</v>
      </c>
      <c r="E57" s="56">
        <f>IF(F57&gt;=0,IF(C57&lt;0,180+F57,F57),IF(C57&gt;=0,180+F57,F57))</f>
        <v>249.77874430362266</v>
      </c>
      <c r="F57" s="53">
        <f>ATAN(C57/B57)/(PI())*180</f>
        <v>69.778744303622645</v>
      </c>
      <c r="K57" s="58" t="s">
        <v>69</v>
      </c>
      <c r="L57" s="53">
        <f t="shared" ref="L57:M58" si="23">B57</f>
        <v>-1.3569999999999999E-4</v>
      </c>
      <c r="M57" s="53">
        <f>C57</f>
        <v>-3.6840000000000001E-4</v>
      </c>
      <c r="N57" s="53">
        <f t="shared" ref="N57:N58" si="24">SQRT(L57^2 + M57^2)</f>
        <v>3.925978222048615E-4</v>
      </c>
      <c r="O57" s="56">
        <f t="shared" ref="O57:O58" si="25">IF(P57&gt;=0,IF(M57&lt;0,180+P57,P57),IF(M57&gt;=0,180+P57,P57))</f>
        <v>249.77874430362266</v>
      </c>
      <c r="P57" s="53">
        <f>ATAN(M57/L57)/(PI())*180</f>
        <v>69.778744303622645</v>
      </c>
    </row>
    <row r="58" spans="1:19" x14ac:dyDescent="0.3">
      <c r="A58" s="58" t="s">
        <v>70</v>
      </c>
      <c r="B58" s="53">
        <f>-0.0003627</f>
        <v>-3.6269999999999998E-4</v>
      </c>
      <c r="C58" s="53">
        <f>-0.0004318</f>
        <v>-4.3179999999999998E-4</v>
      </c>
      <c r="D58" s="53">
        <f t="shared" ref="D58" si="26">SQRT(B58^2 + C58^2)</f>
        <v>5.6391713043673351E-4</v>
      </c>
      <c r="E58" s="56">
        <f t="shared" ref="E58" si="27">IF(F58&gt;=0,IF(C58&lt;0,180+F58,F58),IF(C58&gt;=0,180+F58,F58))</f>
        <v>229.97067430479535</v>
      </c>
      <c r="F58" s="53">
        <f t="shared" ref="F58" si="28">ATAN(C58/B58)/(PI())*180</f>
        <v>49.970674304795367</v>
      </c>
      <c r="K58" s="58" t="s">
        <v>70</v>
      </c>
      <c r="L58" s="53">
        <f t="shared" si="23"/>
        <v>-3.6269999999999998E-4</v>
      </c>
      <c r="M58" s="53">
        <f t="shared" si="23"/>
        <v>-4.3179999999999998E-4</v>
      </c>
      <c r="N58" s="53">
        <f t="shared" si="24"/>
        <v>5.6391713043673351E-4</v>
      </c>
      <c r="O58" s="56">
        <f t="shared" si="25"/>
        <v>229.97067430479535</v>
      </c>
      <c r="P58" s="53">
        <f t="shared" ref="P58" si="29">ATAN(M58/L58)/(PI())*180</f>
        <v>49.970674304795367</v>
      </c>
    </row>
  </sheetData>
  <mergeCells count="11">
    <mergeCell ref="A1:H2"/>
    <mergeCell ref="J1:K1"/>
    <mergeCell ref="J2:K2"/>
    <mergeCell ref="A4:C4"/>
    <mergeCell ref="E4:F4"/>
    <mergeCell ref="K4:L4"/>
    <mergeCell ref="A9:A10"/>
    <mergeCell ref="A13:B13"/>
    <mergeCell ref="A22:A23"/>
    <mergeCell ref="B22:B23"/>
    <mergeCell ref="A29:A3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02966-F07C-44EC-9217-AFE3AC138FAA}">
  <sheetPr codeName="Hoja2"/>
  <dimension ref="A1:S58"/>
  <sheetViews>
    <sheetView topLeftCell="F28" zoomScale="85" zoomScaleNormal="85" workbookViewId="0">
      <selection activeCell="C59" sqref="C59"/>
    </sheetView>
  </sheetViews>
  <sheetFormatPr baseColWidth="10" defaultRowHeight="14.4" x14ac:dyDescent="0.3"/>
  <cols>
    <col min="1" max="1" width="33.6640625" bestFit="1" customWidth="1"/>
    <col min="2" max="3" width="13.44140625" bestFit="1" customWidth="1"/>
    <col min="4" max="4" width="16.6640625" customWidth="1"/>
    <col min="7" max="7" width="14.109375" bestFit="1" customWidth="1"/>
    <col min="11" max="11" width="34.109375" bestFit="1" customWidth="1"/>
    <col min="12" max="12" width="12.21875" bestFit="1" customWidth="1"/>
    <col min="13" max="13" width="12.77734375" bestFit="1" customWidth="1"/>
    <col min="17" max="17" width="14.109375" bestFit="1" customWidth="1"/>
  </cols>
  <sheetData>
    <row r="1" spans="1:12" x14ac:dyDescent="0.3">
      <c r="A1" s="71" t="s">
        <v>0</v>
      </c>
      <c r="B1" s="72"/>
      <c r="C1" s="72"/>
      <c r="D1" s="72"/>
      <c r="E1" s="72"/>
      <c r="F1" s="72"/>
      <c r="G1" s="72"/>
      <c r="H1" s="73"/>
      <c r="J1" s="77" t="s">
        <v>1</v>
      </c>
      <c r="K1" s="77"/>
    </row>
    <row r="2" spans="1:12" ht="15" thickBot="1" x14ac:dyDescent="0.35">
      <c r="A2" s="74"/>
      <c r="B2" s="75"/>
      <c r="C2" s="75"/>
      <c r="D2" s="75"/>
      <c r="E2" s="75"/>
      <c r="F2" s="75"/>
      <c r="G2" s="75"/>
      <c r="H2" s="76"/>
      <c r="J2" s="78" t="s">
        <v>2</v>
      </c>
      <c r="K2" s="78"/>
    </row>
    <row r="3" spans="1:12" ht="15" thickBot="1" x14ac:dyDescent="0.35"/>
    <row r="4" spans="1:12" ht="15" thickBot="1" x14ac:dyDescent="0.35">
      <c r="A4" s="79" t="s">
        <v>71</v>
      </c>
      <c r="B4" s="80"/>
      <c r="C4" s="81"/>
      <c r="E4" s="79" t="s">
        <v>3</v>
      </c>
      <c r="F4" s="81"/>
      <c r="H4" s="1" t="s">
        <v>4</v>
      </c>
      <c r="I4" s="2">
        <f>COS(C10)-F5-(F6*COS(C10))+F7</f>
        <v>-1.241933414309742</v>
      </c>
      <c r="K4" s="79" t="s">
        <v>5</v>
      </c>
      <c r="L4" s="81"/>
    </row>
    <row r="5" spans="1:12" ht="15" thickTop="1" x14ac:dyDescent="0.3">
      <c r="A5" s="3" t="s">
        <v>6</v>
      </c>
      <c r="B5" s="4" t="s">
        <v>7</v>
      </c>
      <c r="C5" s="5">
        <v>6.625</v>
      </c>
      <c r="E5" s="6" t="s">
        <v>8</v>
      </c>
      <c r="F5" s="7">
        <f>C8/C5</f>
        <v>3.7026415094339624</v>
      </c>
      <c r="H5" s="8" t="s">
        <v>9</v>
      </c>
      <c r="I5" s="9">
        <f>-2*SIN(C10)</f>
        <v>0.95124841814055039</v>
      </c>
      <c r="K5" s="10" t="s">
        <v>10</v>
      </c>
      <c r="L5" s="11">
        <f>MIN(C5:C8)</f>
        <v>6.625</v>
      </c>
    </row>
    <row r="6" spans="1:12" x14ac:dyDescent="0.3">
      <c r="A6" s="3" t="s">
        <v>11</v>
      </c>
      <c r="B6" s="4" t="s">
        <v>12</v>
      </c>
      <c r="C6" s="5">
        <v>25.46</v>
      </c>
      <c r="E6" s="6" t="s">
        <v>13</v>
      </c>
      <c r="F6" s="7">
        <f>C8/C7</f>
        <v>0.80611238908971417</v>
      </c>
      <c r="H6" s="8" t="s">
        <v>14</v>
      </c>
      <c r="I6" s="9">
        <f>F5-(F6+1)*COS(C10)+F7</f>
        <v>4.4040524588249497</v>
      </c>
      <c r="K6" s="10" t="s">
        <v>15</v>
      </c>
      <c r="L6" s="11">
        <f>MAX(C5:C8)</f>
        <v>30.43</v>
      </c>
    </row>
    <row r="7" spans="1:12" x14ac:dyDescent="0.3">
      <c r="A7" s="3" t="s">
        <v>16</v>
      </c>
      <c r="B7" s="4" t="s">
        <v>17</v>
      </c>
      <c r="C7" s="5">
        <v>30.43</v>
      </c>
      <c r="E7" s="6" t="s">
        <v>18</v>
      </c>
      <c r="F7" s="7">
        <f>(C5^(2)-C6^(2)+C7^(2)+C8^(2))/(2*C5*C7)</f>
        <v>2.2901551348904694</v>
      </c>
      <c r="H7" s="8" t="s">
        <v>19</v>
      </c>
      <c r="I7" s="9">
        <f>COS(C10)-F5+(F8*COS(C10)+F9)</f>
        <v>-3.065867876837574</v>
      </c>
      <c r="K7" s="10" t="s">
        <v>20</v>
      </c>
      <c r="L7" s="11">
        <f>ABS((L5+L6)-SUM(C5:C8))</f>
        <v>49.99</v>
      </c>
    </row>
    <row r="8" spans="1:12" ht="15" thickBot="1" x14ac:dyDescent="0.35">
      <c r="A8" s="3" t="s">
        <v>21</v>
      </c>
      <c r="B8" s="4" t="s">
        <v>22</v>
      </c>
      <c r="C8" s="5">
        <v>24.53</v>
      </c>
      <c r="E8" s="6" t="s">
        <v>23</v>
      </c>
      <c r="F8" s="7">
        <f>C8/C6</f>
        <v>0.96347211311861747</v>
      </c>
      <c r="H8" s="8" t="s">
        <v>24</v>
      </c>
      <c r="I8" s="9">
        <f>-2*SIN(C10)</f>
        <v>0.95124841814055039</v>
      </c>
      <c r="K8" s="12" t="s">
        <v>25</v>
      </c>
      <c r="L8" s="13">
        <f>L5+L6</f>
        <v>37.055</v>
      </c>
    </row>
    <row r="9" spans="1:12" ht="15.6" thickTop="1" thickBot="1" x14ac:dyDescent="0.35">
      <c r="A9" s="64" t="s">
        <v>26</v>
      </c>
      <c r="B9" s="4" t="s">
        <v>27</v>
      </c>
      <c r="C9" s="50">
        <v>-28.4</v>
      </c>
      <c r="E9" s="14" t="s">
        <v>28</v>
      </c>
      <c r="F9" s="15">
        <f>(C7^(2)-C8^(2)-C5^(2)-C6^(2))/(2*C5*C6)</f>
        <v>-1.0903918095718035</v>
      </c>
      <c r="H9" s="16" t="s">
        <v>29</v>
      </c>
      <c r="I9" s="17">
        <f>F5+(F8-1)*COS(C10)+F9</f>
        <v>2.5801179962971172</v>
      </c>
    </row>
    <row r="10" spans="1:12" ht="15.6" thickTop="1" thickBot="1" x14ac:dyDescent="0.35">
      <c r="A10" s="65"/>
      <c r="B10" s="18" t="s">
        <v>30</v>
      </c>
      <c r="C10" s="19">
        <f>RADIANS(C9)</f>
        <v>-0.49567350756638956</v>
      </c>
      <c r="K10" s="20" t="s">
        <v>2</v>
      </c>
      <c r="L10" s="21" t="str">
        <f>IF(L8&lt;L7,"GRASHOF",IF(L8&gt;L7,"NO GRASHOF","ESPECIAL GRASHOF"))</f>
        <v>GRASHOF</v>
      </c>
    </row>
    <row r="11" spans="1:12" ht="16.2" customHeight="1" thickBot="1" x14ac:dyDescent="4.2">
      <c r="A11" s="57" t="s">
        <v>31</v>
      </c>
      <c r="B11" s="59">
        <v>0.6</v>
      </c>
      <c r="C11" s="54">
        <f>RADIANS(B11)</f>
        <v>1.0471975511965976E-2</v>
      </c>
      <c r="G11" s="22"/>
    </row>
    <row r="12" spans="1:12" ht="15" thickBot="1" x14ac:dyDescent="0.35">
      <c r="A12" s="57" t="s">
        <v>32</v>
      </c>
      <c r="B12" s="59">
        <v>0</v>
      </c>
      <c r="C12" s="54">
        <f>RADIANS(B12)</f>
        <v>0</v>
      </c>
    </row>
    <row r="13" spans="1:12" ht="15" thickBot="1" x14ac:dyDescent="0.35">
      <c r="A13" s="66" t="s">
        <v>33</v>
      </c>
      <c r="B13" s="67"/>
      <c r="C13" s="23">
        <v>0</v>
      </c>
    </row>
    <row r="14" spans="1:12" ht="15" thickBot="1" x14ac:dyDescent="0.35"/>
    <row r="15" spans="1:12" ht="15" thickBot="1" x14ac:dyDescent="0.35">
      <c r="A15" s="24" t="s">
        <v>34</v>
      </c>
      <c r="B15" s="25" t="s">
        <v>35</v>
      </c>
      <c r="C15" s="26" t="s">
        <v>36</v>
      </c>
      <c r="D15" s="26" t="s">
        <v>72</v>
      </c>
      <c r="E15" s="49"/>
      <c r="F15" s="49"/>
    </row>
    <row r="16" spans="1:12" ht="15" thickTop="1" x14ac:dyDescent="0.3">
      <c r="A16" s="27" t="s">
        <v>37</v>
      </c>
      <c r="B16" s="28">
        <f>2*ATAN(((-I5+SQRT(I5^2-4*(I4*I6)))/(2*I4)))</f>
        <v>-1.9889798468904487</v>
      </c>
      <c r="C16" s="29">
        <f>2*ATAN(((-I5-SQRT(I5^2-4*(I4*I6)))/(2*I4)))</f>
        <v>2.3228091902775718</v>
      </c>
      <c r="D16" s="50">
        <f>RADIANS(D17)</f>
        <v>2.7000243528352277</v>
      </c>
    </row>
    <row r="17" spans="1:11" x14ac:dyDescent="0.3">
      <c r="A17" s="27" t="s">
        <v>38</v>
      </c>
      <c r="B17" s="30">
        <f>DEGREES(B16)</f>
        <v>-113.96015076339938</v>
      </c>
      <c r="C17" s="31">
        <f>DEGREES(C16)</f>
        <v>133.08716321710503</v>
      </c>
      <c r="D17" s="52">
        <f>180-25.3</f>
        <v>154.69999999999999</v>
      </c>
      <c r="E17" s="49" t="s">
        <v>75</v>
      </c>
      <c r="F17" s="49"/>
    </row>
    <row r="18" spans="1:11" x14ac:dyDescent="0.3">
      <c r="A18" s="30" t="s">
        <v>39</v>
      </c>
      <c r="B18" s="28">
        <f>2*ATAN(((-I8+SQRT(I8^2-4*(I7*I9)))/(2*I7)))</f>
        <v>-1.3189406994444688</v>
      </c>
      <c r="C18" s="29">
        <f>2*ATAN(((-I8-SQRT(I8^2-4*(I7*I9)))/(2*I7)))</f>
        <v>1.6527700428315919</v>
      </c>
      <c r="D18" s="50">
        <f>RADIANS(D19)</f>
        <v>1.2287117934040082</v>
      </c>
    </row>
    <row r="19" spans="1:11" ht="15" thickBot="1" x14ac:dyDescent="0.35">
      <c r="A19" s="32" t="s">
        <v>40</v>
      </c>
      <c r="B19" s="33">
        <f>DEGREES(B18)</f>
        <v>-75.569735506200871</v>
      </c>
      <c r="C19" s="34">
        <f>DEGREES(C18)</f>
        <v>94.696747959906517</v>
      </c>
      <c r="D19" s="51">
        <f>180-109.6</f>
        <v>70.400000000000006</v>
      </c>
    </row>
    <row r="21" spans="1:11" ht="15" thickBot="1" x14ac:dyDescent="0.35"/>
    <row r="22" spans="1:11" ht="15" thickBot="1" x14ac:dyDescent="0.35">
      <c r="A22" s="68" t="s">
        <v>41</v>
      </c>
      <c r="B22" s="69">
        <f>ABS(B17-B19)</f>
        <v>38.390415257198512</v>
      </c>
      <c r="C22" s="35" t="s">
        <v>42</v>
      </c>
    </row>
    <row r="23" spans="1:11" ht="15.6" thickTop="1" thickBot="1" x14ac:dyDescent="0.35">
      <c r="A23" s="65"/>
      <c r="B23" s="70"/>
      <c r="C23" s="36" t="str">
        <f>IF(B22&gt;90,B22-PI(),"NA")</f>
        <v>NA</v>
      </c>
    </row>
    <row r="24" spans="1:11" ht="15" thickBot="1" x14ac:dyDescent="0.35"/>
    <row r="25" spans="1:11" ht="15" thickBot="1" x14ac:dyDescent="0.35">
      <c r="A25" s="24" t="s">
        <v>43</v>
      </c>
      <c r="B25" s="25" t="s">
        <v>44</v>
      </c>
      <c r="C25" s="26" t="s">
        <v>30</v>
      </c>
    </row>
    <row r="26" spans="1:11" ht="15" thickTop="1" x14ac:dyDescent="0.3">
      <c r="A26" s="27" t="s">
        <v>45</v>
      </c>
      <c r="B26" s="37">
        <f>DEGREES(C26)</f>
        <v>35.997533770550262</v>
      </c>
      <c r="C26" s="38">
        <f>ACOS(((C6^2)+(C7^2)-(C8-C5)^2)/(2*C6*C7))</f>
        <v>0.62827548689395107</v>
      </c>
    </row>
    <row r="27" spans="1:11" ht="15" thickBot="1" x14ac:dyDescent="0.35">
      <c r="A27" s="32" t="s">
        <v>46</v>
      </c>
      <c r="B27" s="39">
        <f>DEGREES(C27)</f>
        <v>112.92475409184173</v>
      </c>
      <c r="C27" s="40">
        <f>PI()-ACOS(((C6^2)+(C7^2)-(C8+C5)^2)/(2*C6*C7))</f>
        <v>1.9709087659075775</v>
      </c>
    </row>
    <row r="28" spans="1:11" ht="15" thickBot="1" x14ac:dyDescent="0.35"/>
    <row r="29" spans="1:11" ht="15" thickBot="1" x14ac:dyDescent="0.35">
      <c r="A29" s="68" t="s">
        <v>47</v>
      </c>
      <c r="B29" s="25" t="s">
        <v>48</v>
      </c>
      <c r="C29" s="26" t="s">
        <v>49</v>
      </c>
    </row>
    <row r="30" spans="1:11" ht="15.6" thickTop="1" thickBot="1" x14ac:dyDescent="0.35">
      <c r="A30" s="65"/>
      <c r="B30" s="41" t="e">
        <f>ACOS((C5^2 + C8^2 - C6^2 - C7^2) / (2*C5*C8) + C6*C7 / (C5*C8))</f>
        <v>#NUM!</v>
      </c>
      <c r="C30" s="42" t="e">
        <f>ACOS((C5^2 + C8^2 - C6^2 - C7^2) / (2*C5*C8) - C6*C7 / (C5*C8))</f>
        <v>#NUM!</v>
      </c>
    </row>
    <row r="31" spans="1:11" ht="15" thickBot="1" x14ac:dyDescent="0.35"/>
    <row r="32" spans="1:11" ht="15" thickBot="1" x14ac:dyDescent="0.35">
      <c r="A32" s="24" t="s">
        <v>50</v>
      </c>
      <c r="K32" s="24" t="s">
        <v>51</v>
      </c>
    </row>
    <row r="33" spans="1:19" ht="15" thickTop="1" x14ac:dyDescent="0.3">
      <c r="A33" s="43" t="s">
        <v>52</v>
      </c>
      <c r="B33" s="44">
        <f>(C5*C11/C6)*(SIN(RADIANS(B17-C9))/SIN(RADIANS(B19-B17)))</f>
        <v>-4.3746935079613204E-3</v>
      </c>
      <c r="K33" s="43" t="s">
        <v>52</v>
      </c>
      <c r="L33" s="44">
        <f>(C5*C11/C6)*(SIN(RADIANS(C17-C9))/SIN(RADIANS(C19-C17)))</f>
        <v>-1.3932209035266065E-3</v>
      </c>
    </row>
    <row r="34" spans="1:19" ht="15" thickBot="1" x14ac:dyDescent="0.35">
      <c r="A34" s="43" t="s">
        <v>53</v>
      </c>
      <c r="B34" s="44">
        <f>(C5*C11/C7)*(SIN(RADIANS(C9-B19))/SIN(RADIANS(B17-B19)))</f>
        <v>-2.6923588573462866E-3</v>
      </c>
      <c r="K34" s="43" t="s">
        <v>53</v>
      </c>
      <c r="L34" s="44">
        <f>(C5*C11/C7)*(SIN(RADIANS(C9-C19))/SIN(RADIANS(C17-C19)))</f>
        <v>-3.0755555541416412E-3</v>
      </c>
    </row>
    <row r="35" spans="1:19" ht="15" thickBot="1" x14ac:dyDescent="0.35">
      <c r="A35" s="24" t="s">
        <v>54</v>
      </c>
      <c r="B35" s="45" t="s">
        <v>55</v>
      </c>
      <c r="C35" s="45" t="s">
        <v>56</v>
      </c>
      <c r="D35" s="45" t="s">
        <v>57</v>
      </c>
      <c r="E35" s="45" t="s">
        <v>58</v>
      </c>
      <c r="F35" s="45" t="s">
        <v>59</v>
      </c>
      <c r="K35" s="24" t="s">
        <v>54</v>
      </c>
      <c r="L35" s="45" t="s">
        <v>55</v>
      </c>
      <c r="M35" s="45" t="s">
        <v>56</v>
      </c>
      <c r="N35" s="45" t="s">
        <v>57</v>
      </c>
      <c r="O35" s="45" t="s">
        <v>58</v>
      </c>
      <c r="P35" s="45" t="s">
        <v>59</v>
      </c>
    </row>
    <row r="36" spans="1:19" ht="15" thickTop="1" x14ac:dyDescent="0.3">
      <c r="A36" s="43" t="s">
        <v>60</v>
      </c>
      <c r="B36" s="44">
        <f>C5*C11*(-SIN(RADIANS(C9)))</f>
        <v>3.2997303590618969E-2</v>
      </c>
      <c r="C36" s="44">
        <f>C5*C11*(COS(RADIANS(C9)))</f>
        <v>6.1027236331542063E-2</v>
      </c>
      <c r="D36" s="44">
        <f>SQRT(B36^2 + C36^2)</f>
        <v>6.9376837766774613E-2</v>
      </c>
      <c r="E36" s="47">
        <f>IF(F36&gt;=0,IF(C36&lt;0,180+F36,F36),IF(C36&gt;=0,180+F36,F36))</f>
        <v>61.599999999999994</v>
      </c>
      <c r="F36" s="44">
        <f>ATAN(C36/B36)/(PI())*180</f>
        <v>61.599999999999994</v>
      </c>
      <c r="K36" s="43" t="s">
        <v>60</v>
      </c>
      <c r="L36" s="44">
        <f>C5*C11*(-SIN(RADIANS(C9)))</f>
        <v>3.2997303590618969E-2</v>
      </c>
      <c r="M36" s="44">
        <f>C5*C11*(COS(RADIANS(C9)))</f>
        <v>6.1027236331542063E-2</v>
      </c>
      <c r="N36" s="44">
        <f>SQRT(L36^2 + M36^2)</f>
        <v>6.9376837766774613E-2</v>
      </c>
      <c r="O36" s="47">
        <f>IF(P36&gt;=0,IF(M36&lt;0,180+P36,P36),IF(M36&gt;=0,180+P36,P36))</f>
        <v>61.599999999999994</v>
      </c>
      <c r="P36" s="44">
        <f>ATAN(M36/L36)/(PI())*180</f>
        <v>61.599999999999994</v>
      </c>
    </row>
    <row r="37" spans="1:19" x14ac:dyDescent="0.3">
      <c r="A37" s="43" t="s">
        <v>61</v>
      </c>
      <c r="B37" s="44">
        <f>C6*B33*(-SIN(RADIANS(B19)))</f>
        <v>-0.1078658526470206</v>
      </c>
      <c r="C37" s="44">
        <f>C6*B33*(COS(RADIANS(B19)))</f>
        <v>-2.7755984445578766E-2</v>
      </c>
      <c r="D37" s="44">
        <f t="shared" ref="D37:D38" si="0">SQRT(B37^2 + C37^2)</f>
        <v>0.11137969671269522</v>
      </c>
      <c r="E37" s="46">
        <f t="shared" ref="E37:E38" si="1">IF(F37&gt;=0,IF(C37&lt;0,180+F37,F37),IF(C37&gt;=0,180+F37,F37))</f>
        <v>194.43026449379911</v>
      </c>
      <c r="F37" s="44">
        <f>ATAN(C37/B37)/(PI())*180</f>
        <v>14.430264493799127</v>
      </c>
      <c r="K37" s="43" t="s">
        <v>61</v>
      </c>
      <c r="L37" s="44">
        <f>C6*B33*(-SIN(RADIANS(C19)))</f>
        <v>0.11100568769464042</v>
      </c>
      <c r="M37" s="44">
        <f>C6*B33*(COS(RADIANS(C19)))</f>
        <v>9.1199857045901993E-3</v>
      </c>
      <c r="N37" s="44">
        <f t="shared" ref="N37:N38" si="2">SQRT(L37^2 + M37^2)</f>
        <v>0.11137969671269522</v>
      </c>
      <c r="O37" s="46">
        <f t="shared" ref="O37:O38" si="3">IF(P37&gt;=0,IF(M37&lt;0,180+P37,P37),IF(M37&gt;=0,180+P37,P37))</f>
        <v>4.6967479599065136</v>
      </c>
      <c r="P37" s="44">
        <f>ATAN(M37/L37)/(PI())*180</f>
        <v>4.6967479599065136</v>
      </c>
    </row>
    <row r="38" spans="1:19" ht="15" thickBot="1" x14ac:dyDescent="0.35">
      <c r="A38" s="43" t="s">
        <v>62</v>
      </c>
      <c r="B38" s="44">
        <f>C7*B34*(-SIN(RADIANS(B17)))</f>
        <v>-7.486854905640164E-2</v>
      </c>
      <c r="C38" s="44">
        <f>C7*B34*(COS(RADIANS(B17)))</f>
        <v>3.3271251885963284E-2</v>
      </c>
      <c r="D38" s="44">
        <f t="shared" si="0"/>
        <v>8.1928480029047498E-2</v>
      </c>
      <c r="E38" s="46">
        <f t="shared" si="1"/>
        <v>156.03984923660062</v>
      </c>
      <c r="F38" s="44">
        <f t="shared" ref="F38" si="4">ATAN(C38/B38)/(PI())*180</f>
        <v>-23.960150763399387</v>
      </c>
      <c r="K38" s="43" t="s">
        <v>62</v>
      </c>
      <c r="L38" s="44">
        <f>C7*B34*(-SIN(RADIANS(C17)))</f>
        <v>5.9833625893109414E-2</v>
      </c>
      <c r="M38" s="44">
        <f>C7*B34*(COS(RADIANS(C17)))</f>
        <v>5.5966177753652792E-2</v>
      </c>
      <c r="N38" s="44">
        <f t="shared" si="2"/>
        <v>8.1928480029047498E-2</v>
      </c>
      <c r="O38" s="46">
        <f t="shared" si="3"/>
        <v>43.087163217105036</v>
      </c>
      <c r="P38" s="44">
        <f t="shared" ref="P38" si="5">ATAN(M38/L38)/(PI())*180</f>
        <v>43.087163217105036</v>
      </c>
    </row>
    <row r="39" spans="1:19" ht="15" thickBot="1" x14ac:dyDescent="0.35">
      <c r="A39" s="24" t="s">
        <v>63</v>
      </c>
      <c r="B39" s="45" t="s">
        <v>55</v>
      </c>
      <c r="C39" s="45" t="s">
        <v>56</v>
      </c>
      <c r="D39" s="45" t="s">
        <v>57</v>
      </c>
      <c r="E39" s="45" t="s">
        <v>58</v>
      </c>
      <c r="F39" s="48"/>
      <c r="K39" s="24" t="s">
        <v>63</v>
      </c>
      <c r="L39" s="45" t="s">
        <v>55</v>
      </c>
      <c r="M39" s="45" t="s">
        <v>56</v>
      </c>
      <c r="N39" s="45" t="s">
        <v>57</v>
      </c>
      <c r="O39" s="45" t="s">
        <v>58</v>
      </c>
      <c r="P39" s="48"/>
    </row>
    <row r="40" spans="1:19" ht="15" thickTop="1" x14ac:dyDescent="0.3">
      <c r="A40" s="43" t="s">
        <v>60</v>
      </c>
      <c r="B40" s="44">
        <f>$C$13+B36</f>
        <v>3.2997303590618969E-2</v>
      </c>
      <c r="C40" s="44">
        <f>$C$13+C36</f>
        <v>6.1027236331542063E-2</v>
      </c>
      <c r="D40" s="44">
        <f>D36</f>
        <v>6.9376837766774613E-2</v>
      </c>
      <c r="E40" s="46">
        <f>E36+RADIANS(C13)</f>
        <v>61.599999999999994</v>
      </c>
      <c r="F40" s="48"/>
      <c r="K40" s="43" t="s">
        <v>60</v>
      </c>
      <c r="L40" s="44">
        <f>$C$13+L36</f>
        <v>3.2997303590618969E-2</v>
      </c>
      <c r="M40" s="44">
        <f>$C$13+M36</f>
        <v>6.1027236331542063E-2</v>
      </c>
      <c r="N40" s="44">
        <f>N36</f>
        <v>6.9376837766774613E-2</v>
      </c>
      <c r="O40" s="46">
        <f>O36+RADIANS(M13)</f>
        <v>61.599999999999994</v>
      </c>
      <c r="P40" s="48"/>
    </row>
    <row r="41" spans="1:19" x14ac:dyDescent="0.3">
      <c r="A41" s="43" t="s">
        <v>61</v>
      </c>
      <c r="B41" s="44">
        <f t="shared" ref="B41:C42" si="6">$C$13+B37</f>
        <v>-0.1078658526470206</v>
      </c>
      <c r="C41" s="44">
        <f t="shared" si="6"/>
        <v>-2.7755984445578766E-2</v>
      </c>
      <c r="D41" s="44">
        <f t="shared" ref="D41:D42" si="7">D37</f>
        <v>0.11137969671269522</v>
      </c>
      <c r="E41" s="46">
        <f>E37+RADIANS(C13)</f>
        <v>194.43026449379911</v>
      </c>
      <c r="F41" s="48"/>
      <c r="K41" s="43" t="s">
        <v>61</v>
      </c>
      <c r="L41" s="44">
        <f t="shared" ref="L41:M42" si="8">$C$13+L37</f>
        <v>0.11100568769464042</v>
      </c>
      <c r="M41" s="44">
        <f t="shared" si="8"/>
        <v>9.1199857045901993E-3</v>
      </c>
      <c r="N41" s="44">
        <f t="shared" ref="N41:N42" si="9">N37</f>
        <v>0.11137969671269522</v>
      </c>
      <c r="O41" s="46">
        <f>O37+RADIANS(M13)</f>
        <v>4.6967479599065136</v>
      </c>
      <c r="P41" s="48"/>
    </row>
    <row r="42" spans="1:19" ht="15" thickBot="1" x14ac:dyDescent="0.35">
      <c r="A42" s="43" t="s">
        <v>62</v>
      </c>
      <c r="B42" s="44">
        <f t="shared" si="6"/>
        <v>-7.486854905640164E-2</v>
      </c>
      <c r="C42" s="44">
        <f t="shared" si="6"/>
        <v>3.3271251885963284E-2</v>
      </c>
      <c r="D42" s="44">
        <f t="shared" si="7"/>
        <v>8.1928480029047498E-2</v>
      </c>
      <c r="E42" s="46">
        <f>E38+RADIANS(C13)</f>
        <v>156.03984923660062</v>
      </c>
      <c r="F42" s="48"/>
      <c r="K42" s="43" t="s">
        <v>62</v>
      </c>
      <c r="L42" s="44">
        <f t="shared" si="8"/>
        <v>5.9833625893109414E-2</v>
      </c>
      <c r="M42" s="44">
        <f t="shared" si="8"/>
        <v>5.5966177753652792E-2</v>
      </c>
      <c r="N42" s="44">
        <f t="shared" si="9"/>
        <v>8.1928480029047498E-2</v>
      </c>
      <c r="O42" s="46">
        <f>O38+RADIANS(M13)</f>
        <v>43.087163217105036</v>
      </c>
      <c r="P42" s="48"/>
    </row>
    <row r="43" spans="1:19" ht="15" thickBot="1" x14ac:dyDescent="0.35">
      <c r="A43" s="24" t="s">
        <v>73</v>
      </c>
      <c r="B43" s="45" t="s">
        <v>55</v>
      </c>
      <c r="C43" s="45" t="s">
        <v>56</v>
      </c>
      <c r="D43" s="45" t="s">
        <v>57</v>
      </c>
      <c r="E43" s="45" t="s">
        <v>58</v>
      </c>
      <c r="F43" s="45" t="s">
        <v>59</v>
      </c>
      <c r="K43" s="24" t="s">
        <v>73</v>
      </c>
      <c r="L43" s="45" t="s">
        <v>55</v>
      </c>
      <c r="M43" s="45" t="s">
        <v>56</v>
      </c>
      <c r="N43" s="45" t="s">
        <v>57</v>
      </c>
      <c r="O43" s="45" t="s">
        <v>58</v>
      </c>
      <c r="P43" s="45" t="s">
        <v>59</v>
      </c>
    </row>
    <row r="44" spans="1:19" ht="15" thickTop="1" x14ac:dyDescent="0.3">
      <c r="A44" s="53" t="s">
        <v>60</v>
      </c>
      <c r="B44" s="53">
        <f>0.04108</f>
        <v>4.1079999999999998E-2</v>
      </c>
      <c r="C44" s="53">
        <v>0.113</v>
      </c>
      <c r="D44" s="53">
        <f>SQRT(B44^2 + C44^2)</f>
        <v>0.12023546232289374</v>
      </c>
      <c r="E44" s="55">
        <f>IF(F44&gt;=0,IF(C44&lt;0,180+F44,F44),IF(C44&gt;=0,180+F44,F44))</f>
        <v>70.021779000600176</v>
      </c>
      <c r="F44" s="53">
        <f>ATAN(C44/B44)/(PI())*180</f>
        <v>70.021779000600176</v>
      </c>
      <c r="K44" s="53" t="s">
        <v>60</v>
      </c>
      <c r="L44" s="53">
        <f>B44</f>
        <v>4.1079999999999998E-2</v>
      </c>
      <c r="M44" s="53">
        <f>C44</f>
        <v>0.113</v>
      </c>
      <c r="N44" s="53">
        <f>SQRT(L44^2 + M44^2)</f>
        <v>0.12023546232289374</v>
      </c>
      <c r="O44" s="55">
        <f>IF(P44&gt;=0,IF(M44&lt;0,180+P44,P44),IF(M44&gt;=0,180+P44,P44))</f>
        <v>70.021779000600176</v>
      </c>
      <c r="P44" s="53">
        <f>ATAN(M44/L44)/(PI())*180</f>
        <v>70.021779000600176</v>
      </c>
    </row>
    <row r="45" spans="1:19" x14ac:dyDescent="0.3">
      <c r="A45" s="53" t="s">
        <v>61</v>
      </c>
      <c r="B45" s="53">
        <f>-0.05289</f>
        <v>-5.289E-2</v>
      </c>
      <c r="C45" s="53">
        <f>0.08137</f>
        <v>8.1369999999999998E-2</v>
      </c>
      <c r="D45" s="53">
        <f t="shared" ref="D45:D46" si="10">SQRT(B45^2 + C45^2)</f>
        <v>9.7048590922279743E-2</v>
      </c>
      <c r="E45" s="56">
        <f t="shared" ref="E45:E46" si="11">IF(F45&gt;=0,IF(C45&lt;0,180+F45,F45),IF(C45&gt;=0,180+F45,F45))</f>
        <v>123.02362005462163</v>
      </c>
      <c r="F45" s="53">
        <f>ATAN(C45/B45)/(PI())*180</f>
        <v>-56.976379945378369</v>
      </c>
      <c r="K45" s="53" t="s">
        <v>61</v>
      </c>
      <c r="L45" s="53">
        <f t="shared" ref="L45:M46" si="12">B45</f>
        <v>-5.289E-2</v>
      </c>
      <c r="M45" s="53">
        <f t="shared" si="12"/>
        <v>8.1369999999999998E-2</v>
      </c>
      <c r="N45" s="53">
        <f t="shared" ref="N45:N46" si="13">SQRT(L45^2 + M45^2)</f>
        <v>9.7048590922279743E-2</v>
      </c>
      <c r="O45" s="56">
        <f t="shared" ref="O45:O46" si="14">IF(P45&gt;=0,IF(M45&lt;0,180+P45,P45),IF(M45&gt;=0,180+P45,P45))</f>
        <v>123.02362005462163</v>
      </c>
      <c r="P45" s="53">
        <f>ATAN(M45/L45)/(PI())*180</f>
        <v>-56.976379945378369</v>
      </c>
    </row>
    <row r="46" spans="1:19" x14ac:dyDescent="0.3">
      <c r="A46" s="53" t="s">
        <v>62</v>
      </c>
      <c r="B46" s="53">
        <f>-0.04832</f>
        <v>-4.8320000000000002E-2</v>
      </c>
      <c r="C46" s="53">
        <v>0.10299999999999999</v>
      </c>
      <c r="D46" s="53">
        <f t="shared" si="10"/>
        <v>0.11377092071351097</v>
      </c>
      <c r="E46" s="56">
        <f t="shared" si="11"/>
        <v>115.13250469422847</v>
      </c>
      <c r="F46" s="53">
        <f t="shared" ref="F46" si="15">ATAN(C46/B46)/(PI())*180</f>
        <v>-64.867495305771527</v>
      </c>
      <c r="K46" s="53" t="s">
        <v>62</v>
      </c>
      <c r="L46" s="53">
        <f t="shared" si="12"/>
        <v>-4.8320000000000002E-2</v>
      </c>
      <c r="M46" s="53">
        <f t="shared" si="12"/>
        <v>0.10299999999999999</v>
      </c>
      <c r="N46" s="53">
        <f t="shared" si="13"/>
        <v>0.11377092071351097</v>
      </c>
      <c r="O46" s="56">
        <f t="shared" si="14"/>
        <v>115.13250469422847</v>
      </c>
      <c r="P46" s="53">
        <f t="shared" ref="P46" si="16">ATAN(M46/L46)/(PI())*180</f>
        <v>-64.867495305771527</v>
      </c>
    </row>
    <row r="47" spans="1:19" ht="15" thickBot="1" x14ac:dyDescent="0.35"/>
    <row r="48" spans="1:19" ht="15" thickBot="1" x14ac:dyDescent="0.35">
      <c r="A48" s="24" t="s">
        <v>64</v>
      </c>
      <c r="H48" s="1" t="s">
        <v>4</v>
      </c>
      <c r="I48" s="2">
        <f>C7*SIN(B16)</f>
        <v>-27.807789757341467</v>
      </c>
      <c r="K48" s="24" t="s">
        <v>64</v>
      </c>
      <c r="R48" s="1" t="s">
        <v>4</v>
      </c>
      <c r="S48" s="2">
        <f>C7*SIN(C16)</f>
        <v>22.223495850060718</v>
      </c>
    </row>
    <row r="49" spans="1:19" ht="15" thickTop="1" x14ac:dyDescent="0.3">
      <c r="A49" s="43" t="s">
        <v>65</v>
      </c>
      <c r="B49" s="44">
        <f>(I50*I51-I48*I53)/(I48*I52-I49*I51)</f>
        <v>-1.3760416787792396E-5</v>
      </c>
      <c r="H49" s="8" t="s">
        <v>9</v>
      </c>
      <c r="I49" s="9">
        <f>C6*SIN(B18)</f>
        <v>-24.656779372250895</v>
      </c>
      <c r="K49" s="43" t="s">
        <v>65</v>
      </c>
      <c r="L49" s="44">
        <f>(S50*S51-S48*S53)/(S48*S52-S49*S51)</f>
        <v>-5.9326806039774477E-5</v>
      </c>
      <c r="R49" s="8" t="s">
        <v>9</v>
      </c>
      <c r="S49" s="9">
        <f>C6*SIN(C18)</f>
        <v>25.374506235151294</v>
      </c>
    </row>
    <row r="50" spans="1:19" ht="15" thickBot="1" x14ac:dyDescent="0.35">
      <c r="A50" s="43" t="s">
        <v>66</v>
      </c>
      <c r="B50" s="44">
        <f>(I50*I52-I49*I53)/(I48*I52-I49*I51)</f>
        <v>-4.2770941893754911E-5</v>
      </c>
      <c r="H50" s="8" t="s">
        <v>14</v>
      </c>
      <c r="I50" s="9">
        <f>(C5*C12*SIN(C10))+(C5*C11^2*COS(C10))+(C6*B33^2*COS(B18))-(C7*B34^2*COS(B16))</f>
        <v>8.5007779909819037E-4</v>
      </c>
      <c r="K50" s="43" t="s">
        <v>66</v>
      </c>
      <c r="L50" s="44">
        <f>(S50*S52-S49*S53)/(S48*S52-S49*S51)</f>
        <v>-3.0316280933811976E-5</v>
      </c>
      <c r="R50" s="8" t="s">
        <v>14</v>
      </c>
      <c r="S50" s="9">
        <f>(C5*C12*SIN(C10))+(C5*C11^2*COS(C10))+(C6*L33^2*COS(C18))-(C7*L34^2*COS(C16))</f>
        <v>8.3165466624602366E-4</v>
      </c>
    </row>
    <row r="51" spans="1:19" ht="15" thickBot="1" x14ac:dyDescent="0.35">
      <c r="A51" s="24" t="s">
        <v>67</v>
      </c>
      <c r="B51" s="45" t="s">
        <v>55</v>
      </c>
      <c r="C51" s="45" t="s">
        <v>56</v>
      </c>
      <c r="D51" s="45" t="s">
        <v>57</v>
      </c>
      <c r="E51" s="45" t="s">
        <v>58</v>
      </c>
      <c r="F51" s="45" t="s">
        <v>59</v>
      </c>
      <c r="H51" s="8" t="s">
        <v>19</v>
      </c>
      <c r="I51" s="9">
        <f>C7*COS(B16)</f>
        <v>-12.357658710754839</v>
      </c>
      <c r="K51" s="24" t="s">
        <v>67</v>
      </c>
      <c r="L51" s="45" t="s">
        <v>55</v>
      </c>
      <c r="M51" s="45" t="s">
        <v>56</v>
      </c>
      <c r="N51" s="45" t="s">
        <v>57</v>
      </c>
      <c r="O51" s="45" t="s">
        <v>58</v>
      </c>
      <c r="P51" s="45" t="s">
        <v>59</v>
      </c>
      <c r="R51" s="8" t="s">
        <v>19</v>
      </c>
      <c r="S51" s="9">
        <f>C7*COS(C16)</f>
        <v>-20.787042411135211</v>
      </c>
    </row>
    <row r="52" spans="1:19" ht="15" thickTop="1" x14ac:dyDescent="0.3">
      <c r="A52" s="43" t="s">
        <v>68</v>
      </c>
      <c r="B52" s="44">
        <f>-C5*C12*SIN(C10)-C5*C11^2*COS(C10)</f>
        <v>-6.3907572442686877E-4</v>
      </c>
      <c r="C52" s="44">
        <f>C5*C12*COS(C10)-C5*C11^2*SIN(C10)</f>
        <v>3.4554695516186878E-4</v>
      </c>
      <c r="D52" s="44">
        <f>SQRT(B52^2 + C52^2)</f>
        <v>7.2651254619129988E-4</v>
      </c>
      <c r="E52" s="46">
        <f>IF(F52&gt;=0,IF(C52&lt;0,180+F52,F52),IF(C52&gt;=0,180+F52,F52))</f>
        <v>151.6</v>
      </c>
      <c r="F52" s="44">
        <f>ATAN(C52/B52)/(PI())*180</f>
        <v>-28.4</v>
      </c>
      <c r="H52" s="8" t="s">
        <v>24</v>
      </c>
      <c r="I52" s="9">
        <f>C6*COS(B18)</f>
        <v>6.3446694940038304</v>
      </c>
      <c r="K52" s="43" t="s">
        <v>68</v>
      </c>
      <c r="L52" s="44">
        <f>-C5*C12*SIN(C10)-C5*C11^2*COS(C10)</f>
        <v>-6.3907572442686877E-4</v>
      </c>
      <c r="M52" s="44">
        <f>C5*C12*COS(C10)-C5*C11^2*SIN(C10)</f>
        <v>3.4554695516186878E-4</v>
      </c>
      <c r="N52" s="44">
        <f>SQRT(L52^2 + M52^2)</f>
        <v>7.2651254619129988E-4</v>
      </c>
      <c r="O52" s="46">
        <f>IF(P52&gt;=0,IF(M52&lt;0,180+P52,P52),IF(M52&gt;=0,180+P52,P52))</f>
        <v>151.6</v>
      </c>
      <c r="P52" s="44">
        <f>ATAN(M52/L52)/(PI())*180</f>
        <v>-28.4</v>
      </c>
      <c r="R52" s="8" t="s">
        <v>24</v>
      </c>
      <c r="S52" s="9">
        <f>C6*COS(C18)</f>
        <v>-2.0847142063765429</v>
      </c>
    </row>
    <row r="53" spans="1:19" ht="15" thickBot="1" x14ac:dyDescent="0.35">
      <c r="A53" s="43" t="s">
        <v>69</v>
      </c>
      <c r="B53" s="44">
        <f>-C6*B49*SIN(B18)-C6*B33^2*COS(B18)</f>
        <v>-4.6071148576796338E-4</v>
      </c>
      <c r="C53" s="44">
        <f>C6*B49*COS(B18)-C6*B33^2*COS(B18)</f>
        <v>-2.0872922157943351E-4</v>
      </c>
      <c r="D53" s="44">
        <f t="shared" ref="D53:D54" si="17">SQRT(B53^2 + C53^2)</f>
        <v>5.0578944340474389E-4</v>
      </c>
      <c r="E53" s="46">
        <f t="shared" ref="E53:E54" si="18">IF(F53&gt;=0,IF(C53&lt;0,180+F53,F53),IF(C53&gt;=0,180+F53,F53))</f>
        <v>204.37330400189356</v>
      </c>
      <c r="F53" s="44">
        <f>ATAN(C53/B53)/(PI())*180</f>
        <v>24.373304001893555</v>
      </c>
      <c r="H53" s="16" t="s">
        <v>29</v>
      </c>
      <c r="I53" s="17">
        <f>(C5*C12*COS(C10))-(C5*C11^2*SIN(C10))-(C6*B33^2*SIN(B18))+(C7*B34^2*SIN(B16))</f>
        <v>6.1585399927883413E-4</v>
      </c>
      <c r="K53" s="43" t="s">
        <v>69</v>
      </c>
      <c r="L53" s="44">
        <f>-C6*L49*SIN(C18)-C6*L33^2*COS(C18)</f>
        <v>1.5094349744773749E-3</v>
      </c>
      <c r="M53" s="44">
        <f>C6*L49*COS(C18)-C6*L33^2*SIN(C18)</f>
        <v>7.4425882466629643E-5</v>
      </c>
      <c r="N53" s="44">
        <f t="shared" ref="N53:N54" si="19">SQRT(L53^2 + M53^2)</f>
        <v>1.5112687233435522E-3</v>
      </c>
      <c r="O53" s="46">
        <f t="shared" ref="O53:O54" si="20">IF(P53&gt;=0,IF(M53&lt;0,180+P53,P53),IF(M53&gt;=0,180+P53,P53))</f>
        <v>2.8228034254412462</v>
      </c>
      <c r="P53" s="44">
        <f>ATAN(M53/L53)/(PI())*180</f>
        <v>2.8228034254412462</v>
      </c>
      <c r="R53" s="16" t="s">
        <v>29</v>
      </c>
      <c r="S53" s="17">
        <f>(C5*C12*COS(C10))-(C5*C11^2*SIN(C10))-(C6*L33^2*SIN(C18))+(C7*L34^2*SIN(C16))</f>
        <v>5.0650638214897576E-4</v>
      </c>
    </row>
    <row r="54" spans="1:19" ht="15" thickBot="1" x14ac:dyDescent="0.35">
      <c r="A54" s="43" t="s">
        <v>70</v>
      </c>
      <c r="B54" s="44">
        <f>-C7*B50*SIN(B16)-C7*B34^2*COS(B16)</f>
        <v>-1.0997872101948323E-3</v>
      </c>
      <c r="C54" s="44">
        <f>C7*B50*SIN(B16)-C7*B34^2*COS(B16)</f>
        <v>1.2789435096151774E-3</v>
      </c>
      <c r="D54" s="44">
        <f t="shared" si="17"/>
        <v>1.686780486161409E-3</v>
      </c>
      <c r="E54" s="46">
        <f t="shared" si="18"/>
        <v>130.69284729766372</v>
      </c>
      <c r="F54" s="44">
        <f t="shared" ref="F54" si="21">ATAN(C54/B54)/(PI())*180</f>
        <v>-49.307152702336275</v>
      </c>
      <c r="K54" s="43" t="s">
        <v>70</v>
      </c>
      <c r="L54" s="44">
        <f>-C7*L50*SIN(C16)-C7*L34^2*COS(C16)</f>
        <v>8.7035925005050636E-4</v>
      </c>
      <c r="M54" s="44">
        <f>C7*L50*COS(C16)-C7*L34^2*SIN(C16)</f>
        <v>4.1997283762849853E-4</v>
      </c>
      <c r="N54" s="44">
        <f t="shared" si="19"/>
        <v>9.6638626257527745E-4</v>
      </c>
      <c r="O54" s="46">
        <f t="shared" si="20"/>
        <v>25.758617433427816</v>
      </c>
      <c r="P54" s="44">
        <f t="shared" ref="P54" si="22">ATAN(M54/L54)/(PI())*180</f>
        <v>25.758617433427816</v>
      </c>
    </row>
    <row r="55" spans="1:19" ht="15" thickBot="1" x14ac:dyDescent="0.35">
      <c r="A55" s="24" t="s">
        <v>74</v>
      </c>
      <c r="B55" s="45" t="s">
        <v>55</v>
      </c>
      <c r="C55" s="45" t="s">
        <v>56</v>
      </c>
      <c r="D55" s="45" t="s">
        <v>57</v>
      </c>
      <c r="E55" s="45" t="s">
        <v>58</v>
      </c>
      <c r="F55" s="45" t="s">
        <v>59</v>
      </c>
      <c r="K55" s="24" t="s">
        <v>74</v>
      </c>
      <c r="L55" s="45" t="s">
        <v>55</v>
      </c>
      <c r="M55" s="45" t="s">
        <v>56</v>
      </c>
      <c r="N55" s="45" t="s">
        <v>57</v>
      </c>
      <c r="O55" s="45" t="s">
        <v>58</v>
      </c>
      <c r="P55" s="45" t="s">
        <v>59</v>
      </c>
    </row>
    <row r="56" spans="1:19" ht="15" thickTop="1" x14ac:dyDescent="0.3">
      <c r="A56" s="58" t="s">
        <v>68</v>
      </c>
      <c r="B56" s="53">
        <f>-0.001327</f>
        <v>-1.3270000000000001E-3</v>
      </c>
      <c r="C56" s="53">
        <f>0.000261</f>
        <v>2.61E-4</v>
      </c>
      <c r="D56" s="53">
        <f>SQRT(B56^2 + C56^2)</f>
        <v>1.352423750161169E-3</v>
      </c>
      <c r="E56" s="55">
        <f>IF(F56&gt;=0,IF(C56&lt;0,180+F56,F56),IF(C56&gt;=0,180+F56,F56))</f>
        <v>168.87285506556034</v>
      </c>
      <c r="F56" s="53">
        <f>ATAN(C56/B56)/(PI())*180</f>
        <v>-11.127144934439663</v>
      </c>
      <c r="K56" s="58" t="s">
        <v>68</v>
      </c>
      <c r="L56" s="53">
        <f>B56</f>
        <v>-1.3270000000000001E-3</v>
      </c>
      <c r="M56" s="53">
        <f>C56</f>
        <v>2.61E-4</v>
      </c>
      <c r="N56" s="53">
        <f>SQRT(L56^2 + M56^2)</f>
        <v>1.352423750161169E-3</v>
      </c>
      <c r="O56" s="55">
        <f>IF(P56&gt;=0,IF(M56&lt;0,180+P56,P56),IF(M56&gt;=0,180+P56,P56))</f>
        <v>168.87285506556034</v>
      </c>
      <c r="P56" s="53">
        <f>ATAN(M56/L56)/(PI())*180</f>
        <v>-11.127144934439663</v>
      </c>
    </row>
    <row r="57" spans="1:19" x14ac:dyDescent="0.3">
      <c r="A57" s="58" t="s">
        <v>69</v>
      </c>
      <c r="B57" s="53">
        <f>-0.0003684</f>
        <v>-3.6840000000000001E-4</v>
      </c>
      <c r="C57" s="53">
        <f>0.0003878</f>
        <v>3.8779999999999999E-4</v>
      </c>
      <c r="D57" s="53">
        <f t="shared" ref="D57:D58" si="23">SQRT(B57^2 + C57^2)</f>
        <v>5.3489008216642047E-4</v>
      </c>
      <c r="E57" s="56">
        <f t="shared" ref="E57:E58" si="24">IF(F57&gt;=0,IF(C57&lt;0,180+F57,F57),IF(C57&gt;=0,180+F57,F57))</f>
        <v>133.53042268853227</v>
      </c>
      <c r="F57" s="53">
        <f>ATAN(C57/B57)/(PI())*180</f>
        <v>-46.469577311467745</v>
      </c>
      <c r="K57" s="58" t="s">
        <v>69</v>
      </c>
      <c r="L57" s="53">
        <f t="shared" ref="L57:M58" si="25">B57</f>
        <v>-3.6840000000000001E-4</v>
      </c>
      <c r="M57" s="53">
        <f t="shared" si="25"/>
        <v>3.8779999999999999E-4</v>
      </c>
      <c r="N57" s="53">
        <f t="shared" ref="N57:N58" si="26">SQRT(L57^2 + M57^2)</f>
        <v>5.3489008216642047E-4</v>
      </c>
      <c r="O57" s="56">
        <f t="shared" ref="O57:O58" si="27">IF(P57&gt;=0,IF(M57&lt;0,180+P57,P57),IF(M57&gt;=0,180+P57,P57))</f>
        <v>133.53042268853227</v>
      </c>
      <c r="P57" s="53">
        <f>ATAN(M57/L57)/(PI())*180</f>
        <v>-46.469577311467745</v>
      </c>
    </row>
    <row r="58" spans="1:19" x14ac:dyDescent="0.3">
      <c r="A58" s="58" t="s">
        <v>70</v>
      </c>
      <c r="B58" s="53">
        <f>-0.0005527</f>
        <v>-5.5270000000000004E-4</v>
      </c>
      <c r="C58" s="53">
        <f>0.0004663</f>
        <v>4.663E-4</v>
      </c>
      <c r="D58" s="53">
        <f t="shared" si="23"/>
        <v>7.2312722255492507E-4</v>
      </c>
      <c r="E58" s="56">
        <f t="shared" si="24"/>
        <v>139.8464605178753</v>
      </c>
      <c r="F58" s="53">
        <f t="shared" ref="F58" si="28">ATAN(C58/B58)/(PI())*180</f>
        <v>-40.1535394821247</v>
      </c>
      <c r="K58" s="58" t="s">
        <v>70</v>
      </c>
      <c r="L58" s="53">
        <f t="shared" si="25"/>
        <v>-5.5270000000000004E-4</v>
      </c>
      <c r="M58" s="53">
        <f t="shared" si="25"/>
        <v>4.663E-4</v>
      </c>
      <c r="N58" s="53">
        <f t="shared" si="26"/>
        <v>7.2312722255492507E-4</v>
      </c>
      <c r="O58" s="56">
        <f t="shared" si="27"/>
        <v>139.8464605178753</v>
      </c>
      <c r="P58" s="53">
        <f t="shared" ref="P58" si="29">ATAN(M58/L58)/(PI())*180</f>
        <v>-40.1535394821247</v>
      </c>
    </row>
  </sheetData>
  <mergeCells count="11">
    <mergeCell ref="A1:H2"/>
    <mergeCell ref="J1:K1"/>
    <mergeCell ref="J2:K2"/>
    <mergeCell ref="A4:C4"/>
    <mergeCell ref="E4:F4"/>
    <mergeCell ref="K4:L4"/>
    <mergeCell ref="A22:A23"/>
    <mergeCell ref="B22:B23"/>
    <mergeCell ref="A29:A30"/>
    <mergeCell ref="A9:A10"/>
    <mergeCell ref="A13:B1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6EF1-C604-4B14-AD6C-468876820D53}">
  <sheetPr codeName="Hoja3"/>
  <dimension ref="A1:S58"/>
  <sheetViews>
    <sheetView zoomScale="85" zoomScaleNormal="85" workbookViewId="0">
      <selection activeCell="D23" sqref="D23"/>
    </sheetView>
  </sheetViews>
  <sheetFormatPr baseColWidth="10" defaultRowHeight="14.4" x14ac:dyDescent="0.3"/>
  <cols>
    <col min="1" max="1" width="39.33203125" bestFit="1" customWidth="1"/>
    <col min="2" max="3" width="13.44140625" bestFit="1" customWidth="1"/>
    <col min="4" max="4" width="16.88671875" customWidth="1"/>
    <col min="7" max="7" width="14.109375" bestFit="1" customWidth="1"/>
    <col min="11" max="11" width="39.33203125" bestFit="1" customWidth="1"/>
    <col min="12" max="12" width="12.21875" bestFit="1" customWidth="1"/>
    <col min="13" max="13" width="12.77734375" bestFit="1" customWidth="1"/>
    <col min="17" max="17" width="14.109375" bestFit="1" customWidth="1"/>
  </cols>
  <sheetData>
    <row r="1" spans="1:12" x14ac:dyDescent="0.3">
      <c r="A1" s="71" t="s">
        <v>0</v>
      </c>
      <c r="B1" s="72"/>
      <c r="C1" s="72"/>
      <c r="D1" s="72"/>
      <c r="E1" s="72"/>
      <c r="F1" s="72"/>
      <c r="G1" s="72"/>
      <c r="H1" s="73"/>
      <c r="J1" s="77" t="s">
        <v>1</v>
      </c>
      <c r="K1" s="77"/>
    </row>
    <row r="2" spans="1:12" ht="15" thickBot="1" x14ac:dyDescent="0.35">
      <c r="A2" s="74"/>
      <c r="B2" s="75"/>
      <c r="C2" s="75"/>
      <c r="D2" s="75"/>
      <c r="E2" s="75"/>
      <c r="F2" s="75"/>
      <c r="G2" s="75"/>
      <c r="H2" s="76"/>
      <c r="J2" s="78" t="s">
        <v>2</v>
      </c>
      <c r="K2" s="78"/>
    </row>
    <row r="3" spans="1:12" ht="15" thickBot="1" x14ac:dyDescent="0.35"/>
    <row r="4" spans="1:12" ht="15" thickBot="1" x14ac:dyDescent="0.35">
      <c r="A4" s="79" t="s">
        <v>71</v>
      </c>
      <c r="B4" s="80"/>
      <c r="C4" s="81"/>
      <c r="E4" s="79" t="s">
        <v>3</v>
      </c>
      <c r="F4" s="81"/>
      <c r="H4" s="1" t="s">
        <v>4</v>
      </c>
      <c r="I4" s="2">
        <f>COS(C10)-F5-(F6*COS(C10))+F7</f>
        <v>-1.3326988386982701</v>
      </c>
      <c r="K4" s="79" t="s">
        <v>5</v>
      </c>
      <c r="L4" s="81"/>
    </row>
    <row r="5" spans="1:12" ht="15" thickTop="1" x14ac:dyDescent="0.3">
      <c r="A5" s="3" t="s">
        <v>6</v>
      </c>
      <c r="B5" s="4" t="s">
        <v>7</v>
      </c>
      <c r="C5" s="5">
        <v>6.625</v>
      </c>
      <c r="E5" s="6" t="s">
        <v>8</v>
      </c>
      <c r="F5" s="7">
        <f>C8/C5</f>
        <v>3.7026415094339624</v>
      </c>
      <c r="H5" s="8" t="s">
        <v>9</v>
      </c>
      <c r="I5" s="9">
        <f>-2*SIN(C10)</f>
        <v>1.8228065532708906</v>
      </c>
      <c r="K5" s="10" t="s">
        <v>10</v>
      </c>
      <c r="L5" s="11">
        <f>MIN(C5:C8)</f>
        <v>6.625</v>
      </c>
    </row>
    <row r="6" spans="1:12" x14ac:dyDescent="0.3">
      <c r="A6" s="3" t="s">
        <v>11</v>
      </c>
      <c r="B6" s="4" t="s">
        <v>12</v>
      </c>
      <c r="C6" s="5">
        <v>25.46</v>
      </c>
      <c r="E6" s="6" t="s">
        <v>13</v>
      </c>
      <c r="F6" s="7">
        <f>C8/C7</f>
        <v>0.80611238908971417</v>
      </c>
      <c r="H6" s="8" t="s">
        <v>14</v>
      </c>
      <c r="I6" s="9">
        <f>F5-(F6+1)*COS(C10)+F7</f>
        <v>5.249555462959437</v>
      </c>
      <c r="K6" s="10" t="s">
        <v>15</v>
      </c>
      <c r="L6" s="11">
        <f>MAX(C5:C8)</f>
        <v>30.43</v>
      </c>
    </row>
    <row r="7" spans="1:12" x14ac:dyDescent="0.3">
      <c r="A7" s="3" t="s">
        <v>16</v>
      </c>
      <c r="B7" s="4" t="s">
        <v>17</v>
      </c>
      <c r="C7" s="5">
        <v>30.43</v>
      </c>
      <c r="E7" s="6" t="s">
        <v>18</v>
      </c>
      <c r="F7" s="7">
        <f>(C5^(2)-C6^(2)+C7^(2)+C8^(2))/(2*C5*C7)</f>
        <v>2.2901551348904694</v>
      </c>
      <c r="H7" s="8" t="s">
        <v>19</v>
      </c>
      <c r="I7" s="9">
        <f>COS(C10)-F5+(F8*COS(C10)+F9)</f>
        <v>-3.9850363517367406</v>
      </c>
      <c r="K7" s="10" t="s">
        <v>20</v>
      </c>
      <c r="L7" s="11">
        <f>ABS((L5+L6)-SUM(C5:C8))</f>
        <v>49.99</v>
      </c>
    </row>
    <row r="8" spans="1:12" ht="15" thickBot="1" x14ac:dyDescent="0.35">
      <c r="A8" s="3" t="s">
        <v>21</v>
      </c>
      <c r="B8" s="4" t="s">
        <v>22</v>
      </c>
      <c r="C8" s="5">
        <v>24.53</v>
      </c>
      <c r="E8" s="6" t="s">
        <v>23</v>
      </c>
      <c r="F8" s="7">
        <f>C8/C6</f>
        <v>0.96347211311861747</v>
      </c>
      <c r="H8" s="8" t="s">
        <v>24</v>
      </c>
      <c r="I8" s="9">
        <f>-2*SIN(C10)</f>
        <v>1.8228065532708906</v>
      </c>
      <c r="K8" s="12" t="s">
        <v>25</v>
      </c>
      <c r="L8" s="13">
        <f>L5+L6</f>
        <v>37.055</v>
      </c>
    </row>
    <row r="9" spans="1:12" ht="15.6" thickTop="1" thickBot="1" x14ac:dyDescent="0.35">
      <c r="A9" s="64" t="s">
        <v>26</v>
      </c>
      <c r="B9" s="4" t="s">
        <v>27</v>
      </c>
      <c r="C9" s="50">
        <v>-65.7</v>
      </c>
      <c r="E9" s="14" t="s">
        <v>28</v>
      </c>
      <c r="F9" s="15">
        <f>(C7^(2)-C8^(2)-C5^(2)-C6^(2))/(2*C5*C6)</f>
        <v>-1.0903918095718035</v>
      </c>
      <c r="H9" s="16" t="s">
        <v>29</v>
      </c>
      <c r="I9" s="17">
        <f>F5+(F8-1)*COS(C10)+F9</f>
        <v>2.5972179499209664</v>
      </c>
    </row>
    <row r="10" spans="1:12" ht="15.6" thickTop="1" thickBot="1" x14ac:dyDescent="0.35">
      <c r="A10" s="65"/>
      <c r="B10" s="18" t="s">
        <v>30</v>
      </c>
      <c r="C10" s="19">
        <f>RADIANS(C9)</f>
        <v>-1.1466813185602747</v>
      </c>
      <c r="K10" s="20" t="s">
        <v>2</v>
      </c>
      <c r="L10" s="21" t="str">
        <f>IF(L8&lt;L7,"GRASHOF",IF(L8&gt;L7,"NO GRASHOF","ESPECIAL GRASHOF"))</f>
        <v>GRASHOF</v>
      </c>
    </row>
    <row r="11" spans="1:12" ht="16.2" customHeight="1" thickBot="1" x14ac:dyDescent="4.2">
      <c r="A11" s="57" t="s">
        <v>31</v>
      </c>
      <c r="B11" s="59">
        <v>0.6</v>
      </c>
      <c r="C11" s="54">
        <f>RADIANS(B11)</f>
        <v>1.0471975511965976E-2</v>
      </c>
      <c r="G11" s="22"/>
    </row>
    <row r="12" spans="1:12" ht="15" thickBot="1" x14ac:dyDescent="0.35">
      <c r="A12" s="57" t="s">
        <v>32</v>
      </c>
      <c r="B12" s="59">
        <v>0</v>
      </c>
      <c r="C12" s="54">
        <f>RADIANS(B12)</f>
        <v>0</v>
      </c>
    </row>
    <row r="13" spans="1:12" ht="15" thickBot="1" x14ac:dyDescent="0.35">
      <c r="A13" s="66" t="s">
        <v>33</v>
      </c>
      <c r="B13" s="67"/>
      <c r="C13" s="23">
        <v>0</v>
      </c>
    </row>
    <row r="14" spans="1:12" ht="15" thickBot="1" x14ac:dyDescent="0.35"/>
    <row r="15" spans="1:12" ht="15" thickBot="1" x14ac:dyDescent="0.35">
      <c r="A15" s="24" t="s">
        <v>34</v>
      </c>
      <c r="B15" s="25" t="s">
        <v>35</v>
      </c>
      <c r="C15" s="26" t="s">
        <v>36</v>
      </c>
      <c r="D15" s="26" t="s">
        <v>72</v>
      </c>
      <c r="E15" s="49"/>
      <c r="F15" s="49"/>
    </row>
    <row r="16" spans="1:12" ht="15" thickTop="1" x14ac:dyDescent="0.3">
      <c r="A16" s="27" t="s">
        <v>37</v>
      </c>
      <c r="B16" s="28">
        <f>2*ATAN(((-I5+SQRT(I5^2-4*(I4*I6)))/(2*I4)))</f>
        <v>-1.9113860606681365</v>
      </c>
      <c r="C16" s="29">
        <f>2*ATAN(((-I5-SQRT(I5^2-4*(I4*I6)))/(2*I4)))</f>
        <v>2.4517004857264117</v>
      </c>
      <c r="D16" s="50">
        <f>RADIANS(D17)</f>
        <v>2.8693212902786778</v>
      </c>
    </row>
    <row r="17" spans="1:11" x14ac:dyDescent="0.3">
      <c r="A17" s="27" t="s">
        <v>38</v>
      </c>
      <c r="B17" s="30">
        <f>DEGREES(B16)</f>
        <v>-109.51435429642055</v>
      </c>
      <c r="C17" s="31">
        <f>DEGREES(C16)</f>
        <v>140.47209046229733</v>
      </c>
      <c r="D17" s="52">
        <f>180-15.6</f>
        <v>164.4</v>
      </c>
      <c r="E17" s="49" t="s">
        <v>75</v>
      </c>
      <c r="F17" s="49"/>
    </row>
    <row r="18" spans="1:11" x14ac:dyDescent="0.3">
      <c r="A18" s="30" t="s">
        <v>39</v>
      </c>
      <c r="B18" s="28">
        <f>2*ATAN(((-I8+SQRT(I8^2-4*(I7*I9)))/(2*I7)))</f>
        <v>-1.096019279050289</v>
      </c>
      <c r="C18" s="29">
        <f>2*ATAN(((-I8-SQRT(I8^2-4*(I7*I9)))/(2*I7)))</f>
        <v>1.6363337041085646</v>
      </c>
      <c r="D18" s="50">
        <f>RADIANS(D19)</f>
        <v>1.6231562043547265</v>
      </c>
    </row>
    <row r="19" spans="1:11" ht="15" thickBot="1" x14ac:dyDescent="0.35">
      <c r="A19" s="32" t="s">
        <v>40</v>
      </c>
      <c r="B19" s="33">
        <f>DEGREES(B18)</f>
        <v>-62.797278954552802</v>
      </c>
      <c r="C19" s="34">
        <f>DEGREES(C18)</f>
        <v>93.755015120429604</v>
      </c>
      <c r="D19" s="51">
        <v>93</v>
      </c>
    </row>
    <row r="21" spans="1:11" ht="15" thickBot="1" x14ac:dyDescent="0.35"/>
    <row r="22" spans="1:11" ht="15" thickBot="1" x14ac:dyDescent="0.35">
      <c r="A22" s="68" t="s">
        <v>41</v>
      </c>
      <c r="B22" s="69">
        <f>ABS(B17-B19)</f>
        <v>46.717075341867748</v>
      </c>
      <c r="C22" s="35" t="s">
        <v>42</v>
      </c>
    </row>
    <row r="23" spans="1:11" ht="15.6" thickTop="1" thickBot="1" x14ac:dyDescent="0.35">
      <c r="A23" s="65"/>
      <c r="B23" s="70"/>
      <c r="C23" s="36" t="str">
        <f>IF(B22&gt;90,B22-PI(),"NA")</f>
        <v>NA</v>
      </c>
    </row>
    <row r="24" spans="1:11" ht="15" thickBot="1" x14ac:dyDescent="0.35"/>
    <row r="25" spans="1:11" ht="15" thickBot="1" x14ac:dyDescent="0.35">
      <c r="A25" s="24" t="s">
        <v>43</v>
      </c>
      <c r="B25" s="25" t="s">
        <v>44</v>
      </c>
      <c r="C25" s="26" t="s">
        <v>30</v>
      </c>
    </row>
    <row r="26" spans="1:11" ht="15" thickTop="1" x14ac:dyDescent="0.3">
      <c r="A26" s="27" t="s">
        <v>45</v>
      </c>
      <c r="B26" s="37">
        <f>DEGREES(C26)</f>
        <v>35.997533770550262</v>
      </c>
      <c r="C26" s="38">
        <f>ACOS(((C6^2)+(C7^2)-(C8-C5)^2)/(2*C6*C7))</f>
        <v>0.62827548689395107</v>
      </c>
    </row>
    <row r="27" spans="1:11" ht="15" thickBot="1" x14ac:dyDescent="0.35">
      <c r="A27" s="32" t="s">
        <v>46</v>
      </c>
      <c r="B27" s="39">
        <f>DEGREES(C27)</f>
        <v>112.92475409184173</v>
      </c>
      <c r="C27" s="40">
        <f>PI()-ACOS(((C6^2)+(C7^2)-(C8+C5)^2)/(2*C6*C7))</f>
        <v>1.9709087659075775</v>
      </c>
    </row>
    <row r="28" spans="1:11" ht="15" thickBot="1" x14ac:dyDescent="0.35"/>
    <row r="29" spans="1:11" ht="15" thickBot="1" x14ac:dyDescent="0.35">
      <c r="A29" s="68" t="s">
        <v>47</v>
      </c>
      <c r="B29" s="25" t="s">
        <v>48</v>
      </c>
      <c r="C29" s="26" t="s">
        <v>49</v>
      </c>
    </row>
    <row r="30" spans="1:11" ht="15.6" thickTop="1" thickBot="1" x14ac:dyDescent="0.35">
      <c r="A30" s="65"/>
      <c r="B30" s="41" t="e">
        <f>ACOS((C5^2 + C8^2 - C6^2 - C7^2) / (2*C5*C8) + C6*C7 / (C5*C8))</f>
        <v>#NUM!</v>
      </c>
      <c r="C30" s="42" t="e">
        <f>ACOS((C5^2 + C8^2 - C6^2 - C7^2) / (2*C5*C8) - C6*C7 / (C5*C8))</f>
        <v>#NUM!</v>
      </c>
    </row>
    <row r="31" spans="1:11" ht="15" thickBot="1" x14ac:dyDescent="0.35"/>
    <row r="32" spans="1:11" ht="15" thickBot="1" x14ac:dyDescent="0.35">
      <c r="A32" s="24" t="s">
        <v>50</v>
      </c>
      <c r="K32" s="24" t="s">
        <v>51</v>
      </c>
    </row>
    <row r="33" spans="1:19" ht="15" thickTop="1" x14ac:dyDescent="0.3">
      <c r="A33" s="43" t="s">
        <v>52</v>
      </c>
      <c r="B33" s="44">
        <f>(C5*C11/C6)*(SIN(RADIANS(B17-C9))/SIN(RADIANS(B19-B17)))</f>
        <v>-2.5914793130451517E-3</v>
      </c>
      <c r="K33" s="43" t="s">
        <v>52</v>
      </c>
      <c r="L33" s="44">
        <f>(C5*C11/C6)*(SIN(RADIANS(C17-C9))/SIN(RADIANS(C19-C17)))</f>
        <v>1.6509907812111118E-3</v>
      </c>
    </row>
    <row r="34" spans="1:19" ht="15" thickBot="1" x14ac:dyDescent="0.35">
      <c r="A34" s="43" t="s">
        <v>53</v>
      </c>
      <c r="B34" s="44">
        <f>(C5*C11/C7)*(SIN(RADIANS(C9-B19))/SIN(RADIANS(B17-B19)))</f>
        <v>1.5859580506426518E-4</v>
      </c>
      <c r="K34" s="43" t="s">
        <v>53</v>
      </c>
      <c r="L34" s="44">
        <f>(C5*C11/C7)*(SIN(RADIANS(C9-C19))/SIN(RADIANS(C17-C19)))</f>
        <v>-1.0990843368983052E-3</v>
      </c>
    </row>
    <row r="35" spans="1:19" ht="15" thickBot="1" x14ac:dyDescent="0.35">
      <c r="A35" s="24" t="s">
        <v>54</v>
      </c>
      <c r="B35" s="45" t="s">
        <v>55</v>
      </c>
      <c r="C35" s="45" t="s">
        <v>56</v>
      </c>
      <c r="D35" s="45" t="s">
        <v>57</v>
      </c>
      <c r="E35" s="45" t="s">
        <v>58</v>
      </c>
      <c r="F35" s="45" t="s">
        <v>59</v>
      </c>
      <c r="K35" s="24" t="s">
        <v>54</v>
      </c>
      <c r="L35" s="45" t="s">
        <v>55</v>
      </c>
      <c r="M35" s="45" t="s">
        <v>56</v>
      </c>
      <c r="N35" s="45" t="s">
        <v>57</v>
      </c>
      <c r="O35" s="45" t="s">
        <v>58</v>
      </c>
      <c r="P35" s="45" t="s">
        <v>59</v>
      </c>
    </row>
    <row r="36" spans="1:19" ht="15" thickTop="1" x14ac:dyDescent="0.3">
      <c r="A36" s="43" t="s">
        <v>60</v>
      </c>
      <c r="B36" s="44">
        <f>C5*C11*(-SIN(RADIANS(C9)))</f>
        <v>6.3230277263244081E-2</v>
      </c>
      <c r="C36" s="44">
        <f>C5*C11*(COS(RADIANS(C9)))</f>
        <v>2.8549564895644929E-2</v>
      </c>
      <c r="D36" s="44">
        <f>SQRT(B36^2 + C36^2)</f>
        <v>6.9376837766774599E-2</v>
      </c>
      <c r="E36" s="47">
        <f>IF(F36&gt;=0,IF(C36&lt;0,180+F36,F36),IF(C36&gt;=0,180+F36,F36))</f>
        <v>24.29999999999999</v>
      </c>
      <c r="F36" s="44">
        <f>ATAN(C36/B36)/(PI())*180</f>
        <v>24.29999999999999</v>
      </c>
      <c r="K36" s="43" t="s">
        <v>60</v>
      </c>
      <c r="L36" s="44">
        <f>C5*C11*(-SIN(RADIANS(C9)))</f>
        <v>6.3230277263244081E-2</v>
      </c>
      <c r="M36" s="44">
        <f>C5*C11*(COS(RADIANS(C9)))</f>
        <v>2.8549564895644929E-2</v>
      </c>
      <c r="N36" s="44">
        <f>SQRT(L36^2 + M36^2)</f>
        <v>6.9376837766774599E-2</v>
      </c>
      <c r="O36" s="47">
        <f>IF(P36&gt;=0,IF(M36&lt;0,180+P36,P36),IF(M36&gt;=0,180+P36,P36))</f>
        <v>24.29999999999999</v>
      </c>
      <c r="P36" s="44">
        <f>ATAN(M36/L36)/(PI())*180</f>
        <v>24.29999999999999</v>
      </c>
    </row>
    <row r="37" spans="1:19" x14ac:dyDescent="0.3">
      <c r="A37" s="43" t="s">
        <v>61</v>
      </c>
      <c r="B37" s="44">
        <f>C6*B33*(-SIN(RADIANS(B19)))</f>
        <v>-5.8681426854188479E-2</v>
      </c>
      <c r="C37" s="44">
        <f>C6*B33*(COS(RADIANS(B19)))</f>
        <v>-3.0161679953852247E-2</v>
      </c>
      <c r="D37" s="44">
        <f t="shared" ref="D37:D38" si="0">SQRT(B37^2 + C37^2)</f>
        <v>6.5979063310129565E-2</v>
      </c>
      <c r="E37" s="46">
        <f t="shared" ref="E37:E38" si="1">IF(F37&gt;=0,IF(C37&lt;0,180+F37,F37),IF(C37&gt;=0,180+F37,F37))</f>
        <v>207.20272104544719</v>
      </c>
      <c r="F37" s="44">
        <f>ATAN(C37/B37)/(PI())*180</f>
        <v>27.202721045447198</v>
      </c>
      <c r="K37" s="43" t="s">
        <v>61</v>
      </c>
      <c r="L37" s="44">
        <f>C6*B33*(-SIN(RADIANS(C19)))</f>
        <v>6.5837419104445044E-2</v>
      </c>
      <c r="M37" s="44">
        <f>C6*B33*(COS(RADIANS(C19)))</f>
        <v>4.3209999939528192E-3</v>
      </c>
      <c r="N37" s="44">
        <f t="shared" ref="N37:N38" si="2">SQRT(L37^2 + M37^2)</f>
        <v>6.5979063310129565E-2</v>
      </c>
      <c r="O37" s="46">
        <f t="shared" ref="O37:O38" si="3">IF(P37&gt;=0,IF(M37&lt;0,180+P37,P37),IF(M37&gt;=0,180+P37,P37))</f>
        <v>3.7550151204296034</v>
      </c>
      <c r="P37" s="44">
        <f>ATAN(M37/L37)/(PI())*180</f>
        <v>3.7550151204296034</v>
      </c>
    </row>
    <row r="38" spans="1:19" ht="15" thickBot="1" x14ac:dyDescent="0.35">
      <c r="A38" s="43" t="s">
        <v>62</v>
      </c>
      <c r="B38" s="44">
        <f>C7*B34*(-SIN(RADIANS(B17)))</f>
        <v>4.5488504090555916E-3</v>
      </c>
      <c r="C38" s="44">
        <f>C7*B34*(COS(RADIANS(B17)))</f>
        <v>-1.6121150582073165E-3</v>
      </c>
      <c r="D38" s="44">
        <f t="shared" si="0"/>
        <v>4.8260703481055886E-3</v>
      </c>
      <c r="E38" s="46">
        <f t="shared" si="1"/>
        <v>-19.514354296420553</v>
      </c>
      <c r="F38" s="44">
        <f t="shared" ref="F38" si="4">ATAN(C38/B38)/(PI())*180</f>
        <v>-19.514354296420553</v>
      </c>
      <c r="K38" s="43" t="s">
        <v>62</v>
      </c>
      <c r="L38" s="44">
        <f>C7*B34*(-SIN(RADIANS(C17)))</f>
        <v>-3.0715718420784013E-3</v>
      </c>
      <c r="M38" s="44">
        <f>C7*B34*(COS(RADIANS(C17)))</f>
        <v>-3.722418759867716E-3</v>
      </c>
      <c r="N38" s="44">
        <f t="shared" si="2"/>
        <v>4.8260703481055904E-3</v>
      </c>
      <c r="O38" s="46">
        <f t="shared" si="3"/>
        <v>230.47209046229733</v>
      </c>
      <c r="P38" s="44">
        <f t="shared" ref="P38" si="5">ATAN(M38/L38)/(PI())*180</f>
        <v>50.472090462297317</v>
      </c>
    </row>
    <row r="39" spans="1:19" ht="15" thickBot="1" x14ac:dyDescent="0.35">
      <c r="A39" s="24" t="s">
        <v>63</v>
      </c>
      <c r="B39" s="45" t="s">
        <v>55</v>
      </c>
      <c r="C39" s="45" t="s">
        <v>56</v>
      </c>
      <c r="D39" s="45" t="s">
        <v>57</v>
      </c>
      <c r="E39" s="45" t="s">
        <v>58</v>
      </c>
      <c r="F39" s="48"/>
      <c r="K39" s="24" t="s">
        <v>63</v>
      </c>
      <c r="L39" s="45" t="s">
        <v>55</v>
      </c>
      <c r="M39" s="45" t="s">
        <v>56</v>
      </c>
      <c r="N39" s="45" t="s">
        <v>57</v>
      </c>
      <c r="O39" s="45" t="s">
        <v>58</v>
      </c>
      <c r="P39" s="48"/>
    </row>
    <row r="40" spans="1:19" ht="15" thickTop="1" x14ac:dyDescent="0.3">
      <c r="A40" s="43" t="s">
        <v>60</v>
      </c>
      <c r="B40" s="44">
        <f>$C$13+B36</f>
        <v>6.3230277263244081E-2</v>
      </c>
      <c r="C40" s="44">
        <f>$C$13+C36</f>
        <v>2.8549564895644929E-2</v>
      </c>
      <c r="D40" s="44">
        <f>D36</f>
        <v>6.9376837766774599E-2</v>
      </c>
      <c r="E40" s="46">
        <f>E36+RADIANS(C13)</f>
        <v>24.29999999999999</v>
      </c>
      <c r="F40" s="48"/>
      <c r="K40" s="43" t="s">
        <v>60</v>
      </c>
      <c r="L40" s="44">
        <f>$C$13+L36</f>
        <v>6.3230277263244081E-2</v>
      </c>
      <c r="M40" s="44">
        <f>$C$13+M36</f>
        <v>2.8549564895644929E-2</v>
      </c>
      <c r="N40" s="44">
        <f>N36</f>
        <v>6.9376837766774599E-2</v>
      </c>
      <c r="O40" s="46">
        <f>O36+RADIANS(M13)</f>
        <v>24.29999999999999</v>
      </c>
      <c r="P40" s="48"/>
    </row>
    <row r="41" spans="1:19" x14ac:dyDescent="0.3">
      <c r="A41" s="43" t="s">
        <v>61</v>
      </c>
      <c r="B41" s="44">
        <f t="shared" ref="B41:C42" si="6">$C$13+B37</f>
        <v>-5.8681426854188479E-2</v>
      </c>
      <c r="C41" s="44">
        <f t="shared" si="6"/>
        <v>-3.0161679953852247E-2</v>
      </c>
      <c r="D41" s="44">
        <f t="shared" ref="D41:D42" si="7">D37</f>
        <v>6.5979063310129565E-2</v>
      </c>
      <c r="E41" s="46">
        <f>E37+RADIANS(C13)</f>
        <v>207.20272104544719</v>
      </c>
      <c r="F41" s="48"/>
      <c r="K41" s="43" t="s">
        <v>61</v>
      </c>
      <c r="L41" s="44">
        <f t="shared" ref="L41:M42" si="8">$C$13+L37</f>
        <v>6.5837419104445044E-2</v>
      </c>
      <c r="M41" s="44">
        <f t="shared" si="8"/>
        <v>4.3209999939528192E-3</v>
      </c>
      <c r="N41" s="44">
        <f t="shared" ref="N41:N42" si="9">N37</f>
        <v>6.5979063310129565E-2</v>
      </c>
      <c r="O41" s="46">
        <f>O37+RADIANS(M13)</f>
        <v>3.7550151204296034</v>
      </c>
      <c r="P41" s="48"/>
    </row>
    <row r="42" spans="1:19" ht="15" thickBot="1" x14ac:dyDescent="0.35">
      <c r="A42" s="43" t="s">
        <v>62</v>
      </c>
      <c r="B42" s="44">
        <f t="shared" si="6"/>
        <v>4.5488504090555916E-3</v>
      </c>
      <c r="C42" s="44">
        <f t="shared" si="6"/>
        <v>-1.6121150582073165E-3</v>
      </c>
      <c r="D42" s="44">
        <f t="shared" si="7"/>
        <v>4.8260703481055886E-3</v>
      </c>
      <c r="E42" s="46">
        <f>E38+RADIANS(C13)</f>
        <v>-19.514354296420553</v>
      </c>
      <c r="F42" s="48"/>
      <c r="K42" s="43" t="s">
        <v>62</v>
      </c>
      <c r="L42" s="44">
        <f t="shared" si="8"/>
        <v>-3.0715718420784013E-3</v>
      </c>
      <c r="M42" s="44">
        <f t="shared" si="8"/>
        <v>-3.722418759867716E-3</v>
      </c>
      <c r="N42" s="44">
        <f t="shared" si="9"/>
        <v>4.8260703481055904E-3</v>
      </c>
      <c r="O42" s="46">
        <f>O38+RADIANS(M13)</f>
        <v>230.47209046229733</v>
      </c>
      <c r="P42" s="48"/>
    </row>
    <row r="43" spans="1:19" ht="15" thickBot="1" x14ac:dyDescent="0.35">
      <c r="A43" s="24" t="s">
        <v>73</v>
      </c>
      <c r="B43" s="45" t="s">
        <v>55</v>
      </c>
      <c r="C43" s="45" t="s">
        <v>56</v>
      </c>
      <c r="D43" s="45" t="s">
        <v>57</v>
      </c>
      <c r="E43" s="45" t="s">
        <v>58</v>
      </c>
      <c r="F43" s="45" t="s">
        <v>59</v>
      </c>
      <c r="K43" s="24" t="s">
        <v>73</v>
      </c>
      <c r="L43" s="45" t="s">
        <v>55</v>
      </c>
      <c r="M43" s="45" t="s">
        <v>56</v>
      </c>
      <c r="N43" s="45" t="s">
        <v>57</v>
      </c>
      <c r="O43" s="45" t="s">
        <v>58</v>
      </c>
      <c r="P43" s="45" t="s">
        <v>59</v>
      </c>
    </row>
    <row r="44" spans="1:19" ht="15" thickTop="1" x14ac:dyDescent="0.3">
      <c r="A44" s="53" t="s">
        <v>60</v>
      </c>
      <c r="B44" s="53">
        <f>0.09945</f>
        <v>9.9449999999999997E-2</v>
      </c>
      <c r="C44" s="53">
        <f>0.0475</f>
        <v>4.7500000000000001E-2</v>
      </c>
      <c r="D44" s="53">
        <f>SQRT(B44^2 + C44^2)</f>
        <v>0.11021139913820167</v>
      </c>
      <c r="E44" s="55">
        <f>IF(F44&gt;=0,IF(C44&lt;0,180+F44,F44),IF(C44&gt;=0,180+F44,F44))</f>
        <v>25.530398158310863</v>
      </c>
      <c r="F44" s="53">
        <f>ATAN(C44/B44)/(PI())*180</f>
        <v>25.530398158310863</v>
      </c>
      <c r="K44" s="53" t="s">
        <v>60</v>
      </c>
      <c r="L44" s="53">
        <f>B44</f>
        <v>9.9449999999999997E-2</v>
      </c>
      <c r="M44" s="53">
        <f>C44</f>
        <v>4.7500000000000001E-2</v>
      </c>
      <c r="N44" s="53">
        <f>SQRT(L44^2 + M44^2)</f>
        <v>0.11021139913820167</v>
      </c>
      <c r="O44" s="55">
        <f>IF(P44&gt;=0,IF(M44&lt;0,180+P44,P44),IF(M44&gt;=0,180+P44,P44))</f>
        <v>25.530398158310863</v>
      </c>
      <c r="P44" s="53">
        <f>ATAN(M44/L44)/(PI())*180</f>
        <v>25.530398158310863</v>
      </c>
    </row>
    <row r="45" spans="1:19" x14ac:dyDescent="0.3">
      <c r="A45" s="53" t="s">
        <v>61</v>
      </c>
      <c r="B45" s="53">
        <f>-0.02514</f>
        <v>-2.5139999999999999E-2</v>
      </c>
      <c r="C45" s="53">
        <f>-0.0344</f>
        <v>-3.44E-2</v>
      </c>
      <c r="D45" s="53">
        <f t="shared" ref="D45:D46" si="10">SQRT(B45^2 + C45^2)</f>
        <v>4.2607271679843572E-2</v>
      </c>
      <c r="E45" s="56">
        <f t="shared" ref="E45:E46" si="11">IF(F45&gt;=0,IF(C45&lt;0,180+F45,F45),IF(C45&gt;=0,180+F45,F45))</f>
        <v>233.84014420235027</v>
      </c>
      <c r="F45" s="53">
        <f>ATAN(C45/B45)/(PI())*180</f>
        <v>53.840144202350267</v>
      </c>
      <c r="K45" s="53" t="s">
        <v>61</v>
      </c>
      <c r="L45" s="53">
        <f t="shared" ref="L45:M46" si="12">B45</f>
        <v>-2.5139999999999999E-2</v>
      </c>
      <c r="M45" s="53">
        <f t="shared" si="12"/>
        <v>-3.44E-2</v>
      </c>
      <c r="N45" s="53">
        <f t="shared" ref="N45:N46" si="13">SQRT(L45^2 + M45^2)</f>
        <v>4.2607271679843572E-2</v>
      </c>
      <c r="O45" s="56">
        <f t="shared" ref="O45:O46" si="14">IF(P45&gt;=0,IF(M45&lt;0,180+P45,P45),IF(M45&gt;=0,180+P45,P45))</f>
        <v>233.84014420235027</v>
      </c>
      <c r="P45" s="53">
        <f>ATAN(M45/L45)/(PI())*180</f>
        <v>53.840144202350267</v>
      </c>
    </row>
    <row r="46" spans="1:19" x14ac:dyDescent="0.3">
      <c r="A46" s="53" t="s">
        <v>62</v>
      </c>
      <c r="B46" s="53">
        <f>-0.009429</f>
        <v>-9.4289999999999999E-3</v>
      </c>
      <c r="C46" s="53">
        <f>0.03654</f>
        <v>3.6540000000000003E-2</v>
      </c>
      <c r="D46" s="53">
        <f t="shared" si="10"/>
        <v>3.7736953255396763E-2</v>
      </c>
      <c r="E46" s="56">
        <f t="shared" si="11"/>
        <v>104.46929820596336</v>
      </c>
      <c r="F46" s="53">
        <f t="shared" ref="F46" si="15">ATAN(C46/B46)/(PI())*180</f>
        <v>-75.530701794036645</v>
      </c>
      <c r="K46" s="53" t="s">
        <v>62</v>
      </c>
      <c r="L46" s="53">
        <f t="shared" si="12"/>
        <v>-9.4289999999999999E-3</v>
      </c>
      <c r="M46" s="53">
        <f t="shared" si="12"/>
        <v>3.6540000000000003E-2</v>
      </c>
      <c r="N46" s="53">
        <f t="shared" si="13"/>
        <v>3.7736953255396763E-2</v>
      </c>
      <c r="O46" s="56">
        <f t="shared" si="14"/>
        <v>104.46929820596336</v>
      </c>
      <c r="P46" s="53">
        <f t="shared" ref="P46" si="16">ATAN(M46/L46)/(PI())*180</f>
        <v>-75.530701794036645</v>
      </c>
    </row>
    <row r="47" spans="1:19" ht="15" thickBot="1" x14ac:dyDescent="0.35"/>
    <row r="48" spans="1:19" ht="15" thickBot="1" x14ac:dyDescent="0.35">
      <c r="A48" s="24" t="s">
        <v>64</v>
      </c>
      <c r="H48" s="1" t="s">
        <v>4</v>
      </c>
      <c r="I48" s="2">
        <f>C7*SIN(B16)</f>
        <v>-28.682034857178827</v>
      </c>
      <c r="K48" s="24" t="s">
        <v>64</v>
      </c>
      <c r="R48" s="1" t="s">
        <v>4</v>
      </c>
      <c r="S48" s="2">
        <f>C7*SIN(C16)</f>
        <v>19.367295628240349</v>
      </c>
    </row>
    <row r="49" spans="1:19" ht="15" thickTop="1" x14ac:dyDescent="0.3">
      <c r="A49" s="43" t="s">
        <v>65</v>
      </c>
      <c r="B49" s="44">
        <f>(I50*I51-I48*I53)/(I48*I52-I49*I51)</f>
        <v>-3.4568503389672474E-5</v>
      </c>
      <c r="H49" s="8" t="s">
        <v>9</v>
      </c>
      <c r="I49" s="9">
        <f>C6*SIN(B18)</f>
        <v>-22.643988149468999</v>
      </c>
      <c r="K49" s="43" t="s">
        <v>65</v>
      </c>
      <c r="L49" s="44">
        <f>(S50*S51-S48*S53)/(S48*S52-S49*S51)</f>
        <v>-3.4595603873963519E-5</v>
      </c>
      <c r="R49" s="8" t="s">
        <v>9</v>
      </c>
      <c r="S49" s="9">
        <f>C6*SIN(C18)</f>
        <v>25.405342335950163</v>
      </c>
    </row>
    <row r="50" spans="1:19" ht="15" thickBot="1" x14ac:dyDescent="0.35">
      <c r="A50" s="43" t="s">
        <v>66</v>
      </c>
      <c r="B50" s="44">
        <f>(I50*I52-I49*I53)/(I48*I52-I49*I51)</f>
        <v>-4.0448949165380878E-5</v>
      </c>
      <c r="H50" s="8" t="s">
        <v>14</v>
      </c>
      <c r="I50" s="9">
        <f>(C5*C12*SIN(C10))+(C5*C11^2*COS(C10))+(C6*B33^2*COS(B18))-(C7*B34^2*COS(B16))</f>
        <v>3.7738938879708649E-4</v>
      </c>
      <c r="K50" s="43" t="s">
        <v>66</v>
      </c>
      <c r="L50" s="44">
        <f>(S50*S52-S49*S53)/(S48*S52-S49*S51)</f>
        <v>-2.8715158098255094E-5</v>
      </c>
      <c r="R50" s="8" t="s">
        <v>14</v>
      </c>
      <c r="S50" s="9">
        <f>(C5*C12*SIN(C10))+(C5*C11^2*COS(C10))+(C6*L33^2*COS(C18))-(C7*L34^2*COS(C16))</f>
        <v>3.2277820383640052E-4</v>
      </c>
    </row>
    <row r="51" spans="1:19" ht="15" thickBot="1" x14ac:dyDescent="0.35">
      <c r="A51" s="24" t="s">
        <v>67</v>
      </c>
      <c r="B51" s="45" t="s">
        <v>55</v>
      </c>
      <c r="C51" s="45" t="s">
        <v>56</v>
      </c>
      <c r="D51" s="45" t="s">
        <v>57</v>
      </c>
      <c r="E51" s="45" t="s">
        <v>58</v>
      </c>
      <c r="F51" s="45" t="s">
        <v>59</v>
      </c>
      <c r="H51" s="8" t="s">
        <v>19</v>
      </c>
      <c r="I51" s="9">
        <f>C7*COS(B16)</f>
        <v>-10.164928747983367</v>
      </c>
      <c r="K51" s="24" t="s">
        <v>67</v>
      </c>
      <c r="L51" s="45" t="s">
        <v>55</v>
      </c>
      <c r="M51" s="45" t="s">
        <v>56</v>
      </c>
      <c r="N51" s="45" t="s">
        <v>57</v>
      </c>
      <c r="O51" s="45" t="s">
        <v>58</v>
      </c>
      <c r="P51" s="45" t="s">
        <v>59</v>
      </c>
      <c r="R51" s="8" t="s">
        <v>19</v>
      </c>
      <c r="S51" s="9">
        <f>C7*COS(C16)</f>
        <v>-23.471104789684322</v>
      </c>
    </row>
    <row r="52" spans="1:19" ht="15" thickTop="1" x14ac:dyDescent="0.3">
      <c r="A52" s="43" t="s">
        <v>68</v>
      </c>
      <c r="B52" s="44">
        <f>-C5*C12*SIN(C10)-C5*C11^2*COS(C10)</f>
        <v>-2.9897034446447714E-4</v>
      </c>
      <c r="C52" s="44">
        <f>C5*C12*COS(C10)-C5*C11^2*SIN(C10)</f>
        <v>6.6214591511551098E-4</v>
      </c>
      <c r="D52" s="44">
        <f>SQRT(B52^2 + C52^2)</f>
        <v>7.2651254619129978E-4</v>
      </c>
      <c r="E52" s="46">
        <f>IF(F52&gt;=0,IF(C52&lt;0,180+F52,F52),IF(C52&gt;=0,180+F52,F52))</f>
        <v>114.3</v>
      </c>
      <c r="F52" s="44">
        <f>ATAN(C52/B52)/(PI())*180</f>
        <v>-65.7</v>
      </c>
      <c r="H52" s="8" t="s">
        <v>24</v>
      </c>
      <c r="I52" s="9">
        <f>C6*COS(B18)</f>
        <v>11.638788626257785</v>
      </c>
      <c r="K52" s="43" t="s">
        <v>68</v>
      </c>
      <c r="L52" s="44">
        <f>-C5*C12*SIN(C10)-C5*C11^2*COS(C10)</f>
        <v>-2.9897034446447714E-4</v>
      </c>
      <c r="M52" s="44">
        <f>C5*C12*COS(C10)-C5*C11^2*SIN(C10)</f>
        <v>6.6214591511551098E-4</v>
      </c>
      <c r="N52" s="44">
        <f>SQRT(L52^2 + M52^2)</f>
        <v>7.2651254619129978E-4</v>
      </c>
      <c r="O52" s="46">
        <f>IF(P52&gt;=0,IF(M52&lt;0,180+P52,P52),IF(M52&gt;=0,180+P52,P52))</f>
        <v>114.3</v>
      </c>
      <c r="P52" s="44">
        <f>ATAN(M52/L52)/(PI())*180</f>
        <v>-65.7</v>
      </c>
      <c r="R52" s="8" t="s">
        <v>24</v>
      </c>
      <c r="S52" s="9">
        <f>C6*COS(C18)</f>
        <v>-1.6673874154431785</v>
      </c>
    </row>
    <row r="53" spans="1:19" ht="15" thickBot="1" x14ac:dyDescent="0.35">
      <c r="A53" s="43" t="s">
        <v>69</v>
      </c>
      <c r="B53" s="44">
        <f>-C6*B49*SIN(B18)-C6*B33^2*COS(B18)</f>
        <v>-8.6093215074771923E-4</v>
      </c>
      <c r="C53" s="44">
        <f>C6*B49*COS(B18)-C6*B33^2*COS(B18)</f>
        <v>-4.804988737255704E-4</v>
      </c>
      <c r="D53" s="44">
        <f t="shared" ref="D53:D54" si="17">SQRT(B53^2 + C53^2)</f>
        <v>9.8594286641906135E-4</v>
      </c>
      <c r="E53" s="46">
        <f t="shared" ref="E53:E54" si="18">IF(F53&gt;=0,IF(C53&lt;0,180+F53,F53),IF(C53&gt;=0,180+F53,F53))</f>
        <v>209.16652764072938</v>
      </c>
      <c r="F53" s="44">
        <f>ATAN(C53/B53)/(PI())*180</f>
        <v>29.16652764072937</v>
      </c>
      <c r="H53" s="16" t="s">
        <v>29</v>
      </c>
      <c r="I53" s="17">
        <f>(C5*C12*COS(C10))-(C5*C11^2*SIN(C10))-(C6*B33^2*SIN(B18))+(C7*B34^2*SIN(B16))</f>
        <v>8.1349619027537155E-4</v>
      </c>
      <c r="K53" s="43" t="s">
        <v>69</v>
      </c>
      <c r="L53" s="44">
        <f>-C6*L49*SIN(C18)-C6*L33^2*COS(C18)</f>
        <v>8.8345807526550287E-4</v>
      </c>
      <c r="M53" s="44">
        <f>C6*L49*COS(C18)-C6*L33^2*SIN(C18)</f>
        <v>-1.1564859667908209E-5</v>
      </c>
      <c r="N53" s="44">
        <f t="shared" ref="N53:N54" si="19">SQRT(L53^2 + M53^2)</f>
        <v>8.8353376660485667E-4</v>
      </c>
      <c r="O53" s="46">
        <f t="shared" ref="O53:O54" si="20">IF(P53&gt;=0,IF(M53&lt;0,180+P53,P53),IF(M53&gt;=0,180+P53,P53))</f>
        <v>-0.74998443435692941</v>
      </c>
      <c r="P53" s="44">
        <f>ATAN(M53/L53)/(PI())*180</f>
        <v>-0.74998443435692941</v>
      </c>
      <c r="R53" s="16" t="s">
        <v>29</v>
      </c>
      <c r="S53" s="17">
        <f>(C5*C12*COS(C10))-(C5*C11^2*SIN(C10))-(C6*L33^2*SIN(C18))+(C7*L34^2*SIN(C16))</f>
        <v>6.1629221024739377E-4</v>
      </c>
    </row>
    <row r="54" spans="1:19" ht="15" thickBot="1" x14ac:dyDescent="0.35">
      <c r="A54" s="43" t="s">
        <v>70</v>
      </c>
      <c r="B54" s="44">
        <f>-C7*B50*SIN(B16)-C7*B34^2*COS(B16)</f>
        <v>-1.1599024952121963E-3</v>
      </c>
      <c r="C54" s="44">
        <f>C7*B50*SIN(B16)-C7*B34^2*COS(B16)</f>
        <v>1.1604138445832214E-3</v>
      </c>
      <c r="D54" s="44">
        <f t="shared" si="17"/>
        <v>1.640711458209484E-3</v>
      </c>
      <c r="E54" s="46">
        <f t="shared" si="18"/>
        <v>134.98737320431718</v>
      </c>
      <c r="F54" s="44">
        <f t="shared" ref="F54" si="21">ATAN(C54/B54)/(PI())*180</f>
        <v>-45.012626795682813</v>
      </c>
      <c r="K54" s="43" t="s">
        <v>70</v>
      </c>
      <c r="L54" s="44">
        <f>-C7*L50*SIN(C16)-C7*L34^2*COS(C16)</f>
        <v>5.8448773080102578E-4</v>
      </c>
      <c r="M54" s="44">
        <f>C7*L50*COS(C16)-C7*L34^2*SIN(C16)</f>
        <v>6.5058105544760268E-4</v>
      </c>
      <c r="N54" s="44">
        <f t="shared" si="19"/>
        <v>8.7457510664564939E-4</v>
      </c>
      <c r="O54" s="46">
        <f t="shared" si="20"/>
        <v>48.06319772110713</v>
      </c>
      <c r="P54" s="44">
        <f t="shared" ref="P54" si="22">ATAN(M54/L54)/(PI())*180</f>
        <v>48.06319772110713</v>
      </c>
    </row>
    <row r="55" spans="1:19" ht="15" thickBot="1" x14ac:dyDescent="0.35">
      <c r="A55" s="24" t="s">
        <v>74</v>
      </c>
      <c r="B55" s="45" t="s">
        <v>55</v>
      </c>
      <c r="C55" s="45" t="s">
        <v>56</v>
      </c>
      <c r="D55" s="45" t="s">
        <v>57</v>
      </c>
      <c r="E55" s="45" t="s">
        <v>58</v>
      </c>
      <c r="F55" s="45" t="s">
        <v>59</v>
      </c>
      <c r="K55" s="24" t="s">
        <v>74</v>
      </c>
      <c r="L55" s="45" t="s">
        <v>55</v>
      </c>
      <c r="M55" s="45" t="s">
        <v>56</v>
      </c>
      <c r="N55" s="45" t="s">
        <v>57</v>
      </c>
      <c r="O55" s="45" t="s">
        <v>58</v>
      </c>
      <c r="P55" s="45" t="s">
        <v>59</v>
      </c>
    </row>
    <row r="56" spans="1:19" ht="15" thickTop="1" x14ac:dyDescent="0.3">
      <c r="A56" s="58" t="s">
        <v>68</v>
      </c>
      <c r="B56" s="53">
        <f>-0.000488</f>
        <v>-4.8799999999999999E-4</v>
      </c>
      <c r="C56" s="53">
        <f>0.001443</f>
        <v>1.4430000000000001E-3</v>
      </c>
      <c r="D56" s="53">
        <f>SQRT(B56^2 + C56^2)</f>
        <v>1.5232836242801272E-3</v>
      </c>
      <c r="E56" s="55">
        <f>IF(F56&gt;=0,IF(C56&lt;0,180+F56,F56),IF(C56&gt;=0,180+F56,F56))</f>
        <v>108.68473162284143</v>
      </c>
      <c r="F56" s="53">
        <f>ATAN(C56/B56)/(PI())*180</f>
        <v>-71.315268377158574</v>
      </c>
      <c r="K56" s="58" t="s">
        <v>68</v>
      </c>
      <c r="L56" s="53">
        <f>B56</f>
        <v>-4.8799999999999999E-4</v>
      </c>
      <c r="M56" s="53">
        <f>C56</f>
        <v>1.4430000000000001E-3</v>
      </c>
      <c r="N56" s="53">
        <f>SQRT(L56^2 + M56^2)</f>
        <v>1.5232836242801272E-3</v>
      </c>
      <c r="O56" s="55">
        <f>IF(P56&gt;=0,IF(M56&lt;0,180+P56,P56),IF(M56&gt;=0,180+P56,P56))</f>
        <v>108.68473162284143</v>
      </c>
      <c r="P56" s="53">
        <f>ATAN(M56/L56)/(PI())*180</f>
        <v>-71.315268377158574</v>
      </c>
    </row>
    <row r="57" spans="1:19" x14ac:dyDescent="0.3">
      <c r="A57" s="58" t="s">
        <v>69</v>
      </c>
      <c r="B57" s="53">
        <f>-0.0005863</f>
        <v>-5.8629999999999999E-4</v>
      </c>
      <c r="C57" s="53">
        <f>0.00087</f>
        <v>8.7000000000000001E-4</v>
      </c>
      <c r="D57" s="53">
        <f t="shared" ref="D57:D58" si="23">SQRT(B57^2 + C57^2)</f>
        <v>1.0491175768234942E-3</v>
      </c>
      <c r="E57" s="56">
        <f t="shared" ref="E57:E58" si="24">IF(F57&gt;=0,IF(C57&lt;0,180+F57,F57),IF(C57&gt;=0,180+F57,F57))</f>
        <v>123.9763471276422</v>
      </c>
      <c r="F57" s="53">
        <f>ATAN(C57/B57)/(PI())*180</f>
        <v>-56.0236528723578</v>
      </c>
      <c r="K57" s="58" t="s">
        <v>69</v>
      </c>
      <c r="L57" s="53">
        <f t="shared" ref="L57:M58" si="25">B57</f>
        <v>-5.8629999999999999E-4</v>
      </c>
      <c r="M57" s="53">
        <f t="shared" si="25"/>
        <v>8.7000000000000001E-4</v>
      </c>
      <c r="N57" s="53">
        <f t="shared" ref="N57:N58" si="26">SQRT(L57^2 + M57^2)</f>
        <v>1.0491175768234942E-3</v>
      </c>
      <c r="O57" s="56">
        <f t="shared" ref="O57:O58" si="27">IF(P57&gt;=0,IF(M57&lt;0,180+P57,P57),IF(M57&gt;=0,180+P57,P57))</f>
        <v>123.9763471276422</v>
      </c>
      <c r="P57" s="53">
        <f>ATAN(M57/L57)/(PI())*180</f>
        <v>-56.0236528723578</v>
      </c>
    </row>
    <row r="58" spans="1:19" x14ac:dyDescent="0.3">
      <c r="A58" s="58" t="s">
        <v>70</v>
      </c>
      <c r="B58" s="53">
        <f>-0.0006739</f>
        <v>-6.7389999999999995E-4</v>
      </c>
      <c r="C58" s="53">
        <f>0.001196</f>
        <v>1.196E-3</v>
      </c>
      <c r="D58" s="53">
        <f t="shared" si="23"/>
        <v>1.3727917576967018E-3</v>
      </c>
      <c r="E58" s="56">
        <f t="shared" si="24"/>
        <v>119.39958672291861</v>
      </c>
      <c r="F58" s="53">
        <f t="shared" ref="F58" si="28">ATAN(C58/B58)/(PI())*180</f>
        <v>-60.600413277081387</v>
      </c>
      <c r="K58" s="58" t="s">
        <v>70</v>
      </c>
      <c r="L58" s="53">
        <f t="shared" si="25"/>
        <v>-6.7389999999999995E-4</v>
      </c>
      <c r="M58" s="53">
        <f t="shared" si="25"/>
        <v>1.196E-3</v>
      </c>
      <c r="N58" s="53">
        <f t="shared" si="26"/>
        <v>1.3727917576967018E-3</v>
      </c>
      <c r="O58" s="56">
        <f t="shared" si="27"/>
        <v>119.39958672291861</v>
      </c>
      <c r="P58" s="53">
        <f t="shared" ref="P58" si="29">ATAN(M58/L58)/(PI())*180</f>
        <v>-60.600413277081387</v>
      </c>
    </row>
  </sheetData>
  <mergeCells count="11">
    <mergeCell ref="A1:H2"/>
    <mergeCell ref="J1:K1"/>
    <mergeCell ref="J2:K2"/>
    <mergeCell ref="A4:C4"/>
    <mergeCell ref="E4:F4"/>
    <mergeCell ref="K4:L4"/>
    <mergeCell ref="A22:A23"/>
    <mergeCell ref="B22:B23"/>
    <mergeCell ref="A29:A30"/>
    <mergeCell ref="A9:A10"/>
    <mergeCell ref="A13:B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0B997-4AA7-427B-AF8A-DD61E08F1A24}">
  <sheetPr codeName="Hoja4"/>
  <dimension ref="A1:S58"/>
  <sheetViews>
    <sheetView topLeftCell="A4" zoomScale="85" zoomScaleNormal="85" workbookViewId="0">
      <selection activeCell="R58" sqref="R58"/>
    </sheetView>
  </sheetViews>
  <sheetFormatPr baseColWidth="10" defaultRowHeight="14.4" x14ac:dyDescent="0.3"/>
  <cols>
    <col min="1" max="1" width="33.6640625" bestFit="1" customWidth="1"/>
    <col min="2" max="3" width="13.44140625" bestFit="1" customWidth="1"/>
    <col min="4" max="4" width="16" customWidth="1"/>
    <col min="7" max="7" width="14.109375" bestFit="1" customWidth="1"/>
    <col min="11" max="11" width="34.109375" bestFit="1" customWidth="1"/>
    <col min="12" max="12" width="12.21875" bestFit="1" customWidth="1"/>
    <col min="13" max="13" width="12.77734375" bestFit="1" customWidth="1"/>
    <col min="17" max="17" width="14.109375" bestFit="1" customWidth="1"/>
  </cols>
  <sheetData>
    <row r="1" spans="1:12" x14ac:dyDescent="0.3">
      <c r="A1" s="71" t="s">
        <v>0</v>
      </c>
      <c r="B1" s="72"/>
      <c r="C1" s="72"/>
      <c r="D1" s="72"/>
      <c r="E1" s="72"/>
      <c r="F1" s="72"/>
      <c r="G1" s="72"/>
      <c r="H1" s="73"/>
      <c r="J1" s="77" t="s">
        <v>1</v>
      </c>
      <c r="K1" s="77"/>
    </row>
    <row r="2" spans="1:12" ht="15" thickBot="1" x14ac:dyDescent="0.35">
      <c r="A2" s="74"/>
      <c r="B2" s="75"/>
      <c r="C2" s="75"/>
      <c r="D2" s="75"/>
      <c r="E2" s="75"/>
      <c r="F2" s="75"/>
      <c r="G2" s="75"/>
      <c r="H2" s="76"/>
      <c r="J2" s="78" t="s">
        <v>2</v>
      </c>
      <c r="K2" s="78"/>
    </row>
    <row r="3" spans="1:12" ht="15" thickBot="1" x14ac:dyDescent="0.35"/>
    <row r="4" spans="1:12" ht="15" thickBot="1" x14ac:dyDescent="0.35">
      <c r="A4" s="79" t="s">
        <v>71</v>
      </c>
      <c r="B4" s="80"/>
      <c r="C4" s="81"/>
      <c r="E4" s="79" t="s">
        <v>3</v>
      </c>
      <c r="F4" s="81"/>
      <c r="H4" s="1" t="s">
        <v>4</v>
      </c>
      <c r="I4" s="2">
        <f>COS(C10)-F5-(F6*COS(C10))+F7</f>
        <v>-1.2878578205786368</v>
      </c>
      <c r="K4" s="79" t="s">
        <v>5</v>
      </c>
      <c r="L4" s="81"/>
    </row>
    <row r="5" spans="1:12" ht="15" thickTop="1" x14ac:dyDescent="0.3">
      <c r="A5" s="3" t="s">
        <v>6</v>
      </c>
      <c r="B5" s="4" t="s">
        <v>7</v>
      </c>
      <c r="C5" s="5">
        <v>6.625</v>
      </c>
      <c r="E5" s="6" t="s">
        <v>8</v>
      </c>
      <c r="F5" s="7">
        <f>C8/C5</f>
        <v>3.7026415094339624</v>
      </c>
      <c r="H5" s="8" t="s">
        <v>9</v>
      </c>
      <c r="I5" s="9">
        <f>-2*SIN(C10)</f>
        <v>-1.532088886237956</v>
      </c>
      <c r="K5" s="10" t="s">
        <v>10</v>
      </c>
      <c r="L5" s="11">
        <f>MIN(C5:C8)</f>
        <v>6.625</v>
      </c>
    </row>
    <row r="6" spans="1:12" x14ac:dyDescent="0.3">
      <c r="A6" s="3" t="s">
        <v>11</v>
      </c>
      <c r="B6" s="4" t="s">
        <v>12</v>
      </c>
      <c r="C6" s="5">
        <v>25.46</v>
      </c>
      <c r="E6" s="6" t="s">
        <v>13</v>
      </c>
      <c r="F6" s="7">
        <f>C8/C7</f>
        <v>0.80611238908971417</v>
      </c>
      <c r="H6" s="8" t="s">
        <v>14</v>
      </c>
      <c r="I6" s="9">
        <f>F5-(F6+1)*COS(C10)+F7</f>
        <v>4.8318499789162095</v>
      </c>
      <c r="K6" s="10" t="s">
        <v>15</v>
      </c>
      <c r="L6" s="11">
        <f>MAX(C5:C8)</f>
        <v>30.43</v>
      </c>
    </row>
    <row r="7" spans="1:12" x14ac:dyDescent="0.3">
      <c r="A7" s="3" t="s">
        <v>16</v>
      </c>
      <c r="B7" s="4" t="s">
        <v>17</v>
      </c>
      <c r="C7" s="5">
        <v>30.43</v>
      </c>
      <c r="E7" s="6" t="s">
        <v>18</v>
      </c>
      <c r="F7" s="7">
        <f>(C5^(2)-C6^(2)+C7^(2)+C8^(2))/(2*C5*C7)</f>
        <v>2.2901551348904694</v>
      </c>
      <c r="H7" s="8" t="s">
        <v>19</v>
      </c>
      <c r="I7" s="9">
        <f>COS(C10)-F5+(F8*COS(C10)+F9)</f>
        <v>-3.5309377727280715</v>
      </c>
      <c r="K7" s="10" t="s">
        <v>20</v>
      </c>
      <c r="L7" s="11">
        <f>ABS((L5+L6)-SUM(C5:C8))</f>
        <v>49.99</v>
      </c>
    </row>
    <row r="8" spans="1:12" ht="15" thickBot="1" x14ac:dyDescent="0.35">
      <c r="A8" s="3" t="s">
        <v>21</v>
      </c>
      <c r="B8" s="4" t="s">
        <v>22</v>
      </c>
      <c r="C8" s="5">
        <v>24.53</v>
      </c>
      <c r="E8" s="6" t="s">
        <v>23</v>
      </c>
      <c r="F8" s="7">
        <f>C8/C6</f>
        <v>0.96347211311861747</v>
      </c>
      <c r="H8" s="8" t="s">
        <v>24</v>
      </c>
      <c r="I8" s="9">
        <f>-2*SIN(C10)</f>
        <v>-1.532088886237956</v>
      </c>
      <c r="K8" s="12" t="s">
        <v>25</v>
      </c>
      <c r="L8" s="13">
        <f>L5+L6</f>
        <v>37.055</v>
      </c>
    </row>
    <row r="9" spans="1:12" ht="15.6" thickTop="1" thickBot="1" x14ac:dyDescent="0.35">
      <c r="A9" s="64" t="s">
        <v>26</v>
      </c>
      <c r="B9" s="4" t="s">
        <v>27</v>
      </c>
      <c r="C9" s="50">
        <v>50</v>
      </c>
      <c r="E9" s="14" t="s">
        <v>28</v>
      </c>
      <c r="F9" s="15">
        <f>(C7^(2)-C8^(2)-C5^(2)-C6^(2))/(2*C5*C6)</f>
        <v>-1.0903918095718035</v>
      </c>
      <c r="H9" s="16" t="s">
        <v>29</v>
      </c>
      <c r="I9" s="17">
        <f>F5+(F8-1)*COS(C10)+F9</f>
        <v>2.5887700267667748</v>
      </c>
    </row>
    <row r="10" spans="1:12" ht="15.6" thickTop="1" thickBot="1" x14ac:dyDescent="0.35">
      <c r="A10" s="65"/>
      <c r="B10" s="18" t="s">
        <v>30</v>
      </c>
      <c r="C10" s="19">
        <f>RADIANS(C9)</f>
        <v>0.87266462599716477</v>
      </c>
      <c r="K10" s="20" t="s">
        <v>2</v>
      </c>
      <c r="L10" s="21" t="str">
        <f>IF(L8&lt;L7,"GRASHOF",IF(L8&gt;L7,"NO GRASHOF","ESPECIAL GRASHOF"))</f>
        <v>GRASHOF</v>
      </c>
    </row>
    <row r="11" spans="1:12" ht="16.2" customHeight="1" thickBot="1" x14ac:dyDescent="4.2">
      <c r="A11" s="57" t="s">
        <v>31</v>
      </c>
      <c r="B11" s="59">
        <v>0.8</v>
      </c>
      <c r="C11" s="54">
        <f>RADIANS(B11)</f>
        <v>1.3962634015954637E-2</v>
      </c>
      <c r="G11" s="22"/>
    </row>
    <row r="12" spans="1:12" ht="15" thickBot="1" x14ac:dyDescent="0.35">
      <c r="A12" s="57" t="s">
        <v>32</v>
      </c>
      <c r="B12" s="59">
        <v>0</v>
      </c>
      <c r="C12" s="54">
        <f>RADIANS(B12)</f>
        <v>0</v>
      </c>
    </row>
    <row r="13" spans="1:12" ht="15" thickBot="1" x14ac:dyDescent="0.35">
      <c r="A13" s="66" t="s">
        <v>33</v>
      </c>
      <c r="B13" s="67"/>
      <c r="C13" s="23">
        <v>0</v>
      </c>
    </row>
    <row r="14" spans="1:12" ht="15" thickBot="1" x14ac:dyDescent="0.35"/>
    <row r="15" spans="1:12" ht="15" thickBot="1" x14ac:dyDescent="0.35">
      <c r="A15" s="24" t="s">
        <v>34</v>
      </c>
      <c r="B15" s="25" t="s">
        <v>35</v>
      </c>
      <c r="C15" s="26" t="s">
        <v>36</v>
      </c>
      <c r="D15" s="26" t="s">
        <v>72</v>
      </c>
      <c r="E15" s="49"/>
      <c r="F15" s="49"/>
    </row>
    <row r="16" spans="1:12" ht="15" thickTop="1" x14ac:dyDescent="0.3">
      <c r="A16" s="27" t="s">
        <v>37</v>
      </c>
      <c r="B16" s="28">
        <f>2*ATAN(((-I5+SQRT(I5^2-4*(I4*I6)))/(2*I4)))</f>
        <v>-2.4126357955039626</v>
      </c>
      <c r="C16" s="29">
        <f>2*ATAN(((-I5-SQRT(I5^2-4*(I4*I6)))/(2*I4)))</f>
        <v>1.9220135373592933</v>
      </c>
      <c r="D16" s="50">
        <f>RADIANS(D17)</f>
        <v>2.1711895894809459</v>
      </c>
    </row>
    <row r="17" spans="1:11" x14ac:dyDescent="0.3">
      <c r="A17" s="27" t="s">
        <v>38</v>
      </c>
      <c r="B17" s="30">
        <f>DEGREES(B16)</f>
        <v>-138.23384858456501</v>
      </c>
      <c r="C17" s="31">
        <f>DEGREES(C16)</f>
        <v>110.12326385769748</v>
      </c>
      <c r="D17" s="52">
        <f>180-55.6</f>
        <v>124.4</v>
      </c>
      <c r="E17" s="49" t="s">
        <v>75</v>
      </c>
      <c r="F17" s="49"/>
    </row>
    <row r="18" spans="1:11" x14ac:dyDescent="0.3">
      <c r="A18" s="30" t="s">
        <v>39</v>
      </c>
      <c r="B18" s="28">
        <f>2*ATAN(((-I8+SQRT(I8^2-4*(I7*I9)))/(2*I7)))</f>
        <v>-1.6661994656699419</v>
      </c>
      <c r="C18" s="29">
        <f>2*ATAN(((-I8-SQRT(I8^2-4*(I7*I9)))/(2*I7)))</f>
        <v>1.1755772075252731</v>
      </c>
      <c r="D18" s="50">
        <f>RADIANS(D19)</f>
        <v>1.0297442586766545</v>
      </c>
    </row>
    <row r="19" spans="1:11" ht="15" thickBot="1" x14ac:dyDescent="0.35">
      <c r="A19" s="32" t="s">
        <v>40</v>
      </c>
      <c r="B19" s="33">
        <f>DEGREES(B18)</f>
        <v>-95.466197209840573</v>
      </c>
      <c r="C19" s="34">
        <f>DEGREES(C18)</f>
        <v>67.355612482973072</v>
      </c>
      <c r="D19" s="51">
        <f>180-121</f>
        <v>59</v>
      </c>
    </row>
    <row r="21" spans="1:11" ht="15" thickBot="1" x14ac:dyDescent="0.35"/>
    <row r="22" spans="1:11" ht="15" thickBot="1" x14ac:dyDescent="0.35">
      <c r="A22" s="68" t="s">
        <v>41</v>
      </c>
      <c r="B22" s="69">
        <f>ABS(B17-B19)</f>
        <v>42.767651374724437</v>
      </c>
      <c r="C22" s="35" t="s">
        <v>42</v>
      </c>
    </row>
    <row r="23" spans="1:11" ht="15.6" thickTop="1" thickBot="1" x14ac:dyDescent="0.35">
      <c r="A23" s="65"/>
      <c r="B23" s="70"/>
      <c r="C23" s="36" t="str">
        <f>IF(B22&gt;90,B22-PI(),"NA")</f>
        <v>NA</v>
      </c>
    </row>
    <row r="24" spans="1:11" ht="15" thickBot="1" x14ac:dyDescent="0.35"/>
    <row r="25" spans="1:11" ht="15" thickBot="1" x14ac:dyDescent="0.35">
      <c r="A25" s="24" t="s">
        <v>43</v>
      </c>
      <c r="B25" s="25" t="s">
        <v>44</v>
      </c>
      <c r="C25" s="26" t="s">
        <v>30</v>
      </c>
    </row>
    <row r="26" spans="1:11" ht="15" thickTop="1" x14ac:dyDescent="0.3">
      <c r="A26" s="27" t="s">
        <v>45</v>
      </c>
      <c r="B26" s="37">
        <f>DEGREES(C26)</f>
        <v>35.997533770550262</v>
      </c>
      <c r="C26" s="38">
        <f>ACOS(((C6^2)+(C7^2)-(C8-C5)^2)/(2*C6*C7))</f>
        <v>0.62827548689395107</v>
      </c>
    </row>
    <row r="27" spans="1:11" ht="15" thickBot="1" x14ac:dyDescent="0.35">
      <c r="A27" s="32" t="s">
        <v>46</v>
      </c>
      <c r="B27" s="39">
        <f>DEGREES(C27)</f>
        <v>112.92475409184173</v>
      </c>
      <c r="C27" s="40">
        <f>PI()-ACOS(((C6^2)+(C7^2)-(C8+C5)^2)/(2*C6*C7))</f>
        <v>1.9709087659075775</v>
      </c>
    </row>
    <row r="28" spans="1:11" ht="15" thickBot="1" x14ac:dyDescent="0.35"/>
    <row r="29" spans="1:11" ht="15" thickBot="1" x14ac:dyDescent="0.35">
      <c r="A29" s="68" t="s">
        <v>47</v>
      </c>
      <c r="B29" s="25" t="s">
        <v>48</v>
      </c>
      <c r="C29" s="26" t="s">
        <v>49</v>
      </c>
    </row>
    <row r="30" spans="1:11" ht="15.6" thickTop="1" thickBot="1" x14ac:dyDescent="0.35">
      <c r="A30" s="65"/>
      <c r="B30" s="41" t="e">
        <f>ACOS((C5^2 + C8^2 - C6^2 - C7^2) / (2*C5*C8) + C6*C7 / (C5*C8))</f>
        <v>#NUM!</v>
      </c>
      <c r="C30" s="42" t="e">
        <f>ACOS((C5^2 + C8^2 - C6^2 - C7^2) / (2*C5*C8) - C6*C7 / (C5*C8))</f>
        <v>#NUM!</v>
      </c>
    </row>
    <row r="31" spans="1:11" ht="15" thickBot="1" x14ac:dyDescent="0.35"/>
    <row r="32" spans="1:11" ht="15" thickBot="1" x14ac:dyDescent="0.35">
      <c r="A32" s="24" t="s">
        <v>50</v>
      </c>
      <c r="K32" s="24" t="s">
        <v>51</v>
      </c>
    </row>
    <row r="33" spans="1:19" ht="15" thickTop="1" x14ac:dyDescent="0.3">
      <c r="A33" s="43" t="s">
        <v>52</v>
      </c>
      <c r="B33" s="44">
        <f>(C5*C11/C6)*(SIN(RADIANS(B17-C9))/SIN(RADIANS(B19-B17)))</f>
        <v>7.6628832846078814E-4</v>
      </c>
      <c r="K33" s="43" t="s">
        <v>52</v>
      </c>
      <c r="L33" s="44">
        <f>(C5*C11/C6)*(SIN(RADIANS(C17-C9))/SIN(RADIANS(C19-C17)))</f>
        <v>-4.6395574639761118E-3</v>
      </c>
    </row>
    <row r="34" spans="1:19" ht="15" thickBot="1" x14ac:dyDescent="0.35">
      <c r="A34" s="43" t="s">
        <v>53</v>
      </c>
      <c r="B34" s="44">
        <f>(C5*C11/C7)*(SIN(RADIANS(C9-B19))/SIN(RADIANS(B17-B19)))</f>
        <v>-2.5378437216251127E-3</v>
      </c>
      <c r="K34" s="43" t="s">
        <v>53</v>
      </c>
      <c r="L34" s="44">
        <f>(C5*C11/C7)*(SIN(RADIANS(C9-C19))/SIN(RADIANS(C17-C19)))</f>
        <v>-1.3354254138902108E-3</v>
      </c>
    </row>
    <row r="35" spans="1:19" ht="15" thickBot="1" x14ac:dyDescent="0.35">
      <c r="A35" s="24" t="s">
        <v>54</v>
      </c>
      <c r="B35" s="45" t="s">
        <v>55</v>
      </c>
      <c r="C35" s="45" t="s">
        <v>56</v>
      </c>
      <c r="D35" s="45" t="s">
        <v>57</v>
      </c>
      <c r="E35" s="45" t="s">
        <v>58</v>
      </c>
      <c r="F35" s="45" t="s">
        <v>59</v>
      </c>
      <c r="K35" s="24" t="s">
        <v>54</v>
      </c>
      <c r="L35" s="45" t="s">
        <v>55</v>
      </c>
      <c r="M35" s="45" t="s">
        <v>56</v>
      </c>
      <c r="N35" s="45" t="s">
        <v>57</v>
      </c>
      <c r="O35" s="45" t="s">
        <v>58</v>
      </c>
      <c r="P35" s="45" t="s">
        <v>59</v>
      </c>
    </row>
    <row r="36" spans="1:19" ht="15" thickTop="1" x14ac:dyDescent="0.3">
      <c r="A36" s="43" t="s">
        <v>60</v>
      </c>
      <c r="B36" s="44">
        <f>C5*C11*(-SIN(RADIANS(C9)))</f>
        <v>-7.0860988069872705E-2</v>
      </c>
      <c r="C36" s="44">
        <f>C5*C11*(COS(RADIANS(C9)))</f>
        <v>5.9459428954287838E-2</v>
      </c>
      <c r="D36" s="44">
        <f>SQRT(B36^2 + C36^2)</f>
        <v>9.250245035569947E-2</v>
      </c>
      <c r="E36" s="47">
        <f>IF(F36&gt;=0,IF(C36&lt;0,180+F36,F36),IF(C36&gt;=0,180+F36,F36))</f>
        <v>140</v>
      </c>
      <c r="F36" s="44">
        <f>ATAN(C36/B36)/(PI())*180</f>
        <v>-40.000000000000007</v>
      </c>
      <c r="K36" s="43" t="s">
        <v>60</v>
      </c>
      <c r="L36" s="44">
        <f>C5*C11*(-SIN(RADIANS(C9)))</f>
        <v>-7.0860988069872705E-2</v>
      </c>
      <c r="M36" s="44">
        <f>C5*C11*(COS(RADIANS(C9)))</f>
        <v>5.9459428954287838E-2</v>
      </c>
      <c r="N36" s="44">
        <f>SQRT(L36^2 + M36^2)</f>
        <v>9.250245035569947E-2</v>
      </c>
      <c r="O36" s="47">
        <f>IF(P36&gt;=0,IF(M36&lt;0,180+P36,P36),IF(M36&gt;=0,180+P36,P36))</f>
        <v>140</v>
      </c>
      <c r="P36" s="44">
        <f>ATAN(M36/L36)/(PI())*180</f>
        <v>-40.000000000000007</v>
      </c>
    </row>
    <row r="37" spans="1:19" x14ac:dyDescent="0.3">
      <c r="A37" s="43" t="s">
        <v>61</v>
      </c>
      <c r="B37" s="44">
        <f>C6*B33*(-SIN(RADIANS(B19)))</f>
        <v>1.9420981868095388E-2</v>
      </c>
      <c r="C37" s="44">
        <f>C6*B33*(COS(RADIANS(B19)))</f>
        <v>-1.8584644864275935E-3</v>
      </c>
      <c r="D37" s="44">
        <f t="shared" ref="D37:D38" si="0">SQRT(B37^2 + C37^2)</f>
        <v>1.9509700842611669E-2</v>
      </c>
      <c r="E37" s="46">
        <f t="shared" ref="E37:E38" si="1">IF(F37&gt;=0,IF(C37&lt;0,180+F37,F37),IF(C37&gt;=0,180+F37,F37))</f>
        <v>-5.4661972098405682</v>
      </c>
      <c r="F37" s="44">
        <f>ATAN(C37/B37)/(PI())*180</f>
        <v>-5.4661972098405682</v>
      </c>
      <c r="K37" s="43" t="s">
        <v>61</v>
      </c>
      <c r="L37" s="44">
        <f>C6*B33*(-SIN(RADIANS(C19)))</f>
        <v>-1.8005741380894155E-2</v>
      </c>
      <c r="M37" s="44">
        <f>C6*B33*(COS(RADIANS(C19)))</f>
        <v>7.5114382306292193E-3</v>
      </c>
      <c r="N37" s="44">
        <f t="shared" ref="N37:N38" si="2">SQRT(L37^2 + M37^2)</f>
        <v>1.9509700842611666E-2</v>
      </c>
      <c r="O37" s="46">
        <f t="shared" ref="O37:O38" si="3">IF(P37&gt;=0,IF(M37&lt;0,180+P37,P37),IF(M37&gt;=0,180+P37,P37))</f>
        <v>157.35561248297307</v>
      </c>
      <c r="P37" s="44">
        <f>ATAN(M37/L37)/(PI())*180</f>
        <v>-22.644387517026921</v>
      </c>
    </row>
    <row r="38" spans="1:19" ht="15" thickBot="1" x14ac:dyDescent="0.35">
      <c r="A38" s="43" t="s">
        <v>62</v>
      </c>
      <c r="B38" s="44">
        <f>C7*B34*(-SIN(RADIANS(B17)))</f>
        <v>-5.1440006201777314E-2</v>
      </c>
      <c r="C38" s="44">
        <f>C7*B34*(COS(RADIANS(B17)))</f>
        <v>5.7600964467860241E-2</v>
      </c>
      <c r="D38" s="44">
        <f t="shared" si="0"/>
        <v>7.7226584449052171E-2</v>
      </c>
      <c r="E38" s="46">
        <f t="shared" si="1"/>
        <v>131.76615141543499</v>
      </c>
      <c r="F38" s="44">
        <f t="shared" ref="F38" si="4">ATAN(C38/B38)/(PI())*180</f>
        <v>-48.23384858456501</v>
      </c>
      <c r="K38" s="43" t="s">
        <v>62</v>
      </c>
      <c r="L38" s="44">
        <f>C7*B34*(-SIN(RADIANS(C17)))</f>
        <v>7.2512259663001719E-2</v>
      </c>
      <c r="M38" s="44">
        <f>C7*B34*(COS(RADIANS(C17)))</f>
        <v>2.6569108833982395E-2</v>
      </c>
      <c r="N38" s="44">
        <f t="shared" si="2"/>
        <v>7.7226584449052171E-2</v>
      </c>
      <c r="O38" s="46">
        <f t="shared" si="3"/>
        <v>20.123263857697477</v>
      </c>
      <c r="P38" s="44">
        <f t="shared" ref="P38" si="5">ATAN(M38/L38)/(PI())*180</f>
        <v>20.123263857697477</v>
      </c>
    </row>
    <row r="39" spans="1:19" ht="15" thickBot="1" x14ac:dyDescent="0.35">
      <c r="A39" s="24" t="s">
        <v>63</v>
      </c>
      <c r="B39" s="45" t="s">
        <v>55</v>
      </c>
      <c r="C39" s="45" t="s">
        <v>56</v>
      </c>
      <c r="D39" s="45" t="s">
        <v>57</v>
      </c>
      <c r="E39" s="45" t="s">
        <v>58</v>
      </c>
      <c r="F39" s="48"/>
      <c r="K39" s="24" t="s">
        <v>63</v>
      </c>
      <c r="L39" s="45" t="s">
        <v>55</v>
      </c>
      <c r="M39" s="45" t="s">
        <v>56</v>
      </c>
      <c r="N39" s="45" t="s">
        <v>57</v>
      </c>
      <c r="O39" s="45" t="s">
        <v>58</v>
      </c>
      <c r="P39" s="48"/>
    </row>
    <row r="40" spans="1:19" ht="15" thickTop="1" x14ac:dyDescent="0.3">
      <c r="A40" s="43" t="s">
        <v>60</v>
      </c>
      <c r="B40" s="44">
        <f>$C$13+B36</f>
        <v>-7.0860988069872705E-2</v>
      </c>
      <c r="C40" s="44">
        <f>$C$13+C36</f>
        <v>5.9459428954287838E-2</v>
      </c>
      <c r="D40" s="44">
        <f>D36</f>
        <v>9.250245035569947E-2</v>
      </c>
      <c r="E40" s="46">
        <f>E36+RADIANS(C13)</f>
        <v>140</v>
      </c>
      <c r="F40" s="48"/>
      <c r="K40" s="43" t="s">
        <v>60</v>
      </c>
      <c r="L40" s="44">
        <f>$C$13+L36</f>
        <v>-7.0860988069872705E-2</v>
      </c>
      <c r="M40" s="44">
        <f>$C$13+M36</f>
        <v>5.9459428954287838E-2</v>
      </c>
      <c r="N40" s="44">
        <f>N36</f>
        <v>9.250245035569947E-2</v>
      </c>
      <c r="O40" s="46">
        <f>O36+RADIANS(M13)</f>
        <v>140</v>
      </c>
      <c r="P40" s="48"/>
    </row>
    <row r="41" spans="1:19" x14ac:dyDescent="0.3">
      <c r="A41" s="43" t="s">
        <v>61</v>
      </c>
      <c r="B41" s="44">
        <f t="shared" ref="B41:C42" si="6">$C$13+B37</f>
        <v>1.9420981868095388E-2</v>
      </c>
      <c r="C41" s="44">
        <f t="shared" si="6"/>
        <v>-1.8584644864275935E-3</v>
      </c>
      <c r="D41" s="44">
        <f t="shared" ref="D41:D42" si="7">D37</f>
        <v>1.9509700842611669E-2</v>
      </c>
      <c r="E41" s="46">
        <f>E37+RADIANS(C13)</f>
        <v>-5.4661972098405682</v>
      </c>
      <c r="F41" s="48"/>
      <c r="K41" s="43" t="s">
        <v>61</v>
      </c>
      <c r="L41" s="44">
        <f t="shared" ref="L41:M42" si="8">$C$13+L37</f>
        <v>-1.8005741380894155E-2</v>
      </c>
      <c r="M41" s="44">
        <f t="shared" si="8"/>
        <v>7.5114382306292193E-3</v>
      </c>
      <c r="N41" s="44">
        <f t="shared" ref="N41:N42" si="9">N37</f>
        <v>1.9509700842611666E-2</v>
      </c>
      <c r="O41" s="46">
        <f>O37+RADIANS(M13)</f>
        <v>157.35561248297307</v>
      </c>
      <c r="P41" s="48"/>
    </row>
    <row r="42" spans="1:19" ht="15" thickBot="1" x14ac:dyDescent="0.35">
      <c r="A42" s="43" t="s">
        <v>62</v>
      </c>
      <c r="B42" s="44">
        <f t="shared" si="6"/>
        <v>-5.1440006201777314E-2</v>
      </c>
      <c r="C42" s="44">
        <f t="shared" si="6"/>
        <v>5.7600964467860241E-2</v>
      </c>
      <c r="D42" s="44">
        <f t="shared" si="7"/>
        <v>7.7226584449052171E-2</v>
      </c>
      <c r="E42" s="46">
        <f>E38+RADIANS(C13)</f>
        <v>131.76615141543499</v>
      </c>
      <c r="F42" s="48"/>
      <c r="K42" s="43" t="s">
        <v>62</v>
      </c>
      <c r="L42" s="44">
        <f t="shared" si="8"/>
        <v>7.2512259663001719E-2</v>
      </c>
      <c r="M42" s="44">
        <f t="shared" si="8"/>
        <v>2.6569108833982395E-2</v>
      </c>
      <c r="N42" s="44">
        <f t="shared" si="9"/>
        <v>7.7226584449052171E-2</v>
      </c>
      <c r="O42" s="46">
        <f>O38+RADIANS(M13)</f>
        <v>20.123263857697477</v>
      </c>
      <c r="P42" s="48"/>
    </row>
    <row r="43" spans="1:19" ht="15" thickBot="1" x14ac:dyDescent="0.35">
      <c r="A43" s="24" t="s">
        <v>73</v>
      </c>
      <c r="B43" s="45" t="s">
        <v>55</v>
      </c>
      <c r="C43" s="45" t="s">
        <v>56</v>
      </c>
      <c r="D43" s="45" t="s">
        <v>57</v>
      </c>
      <c r="E43" s="45" t="s">
        <v>58</v>
      </c>
      <c r="F43" s="45" t="s">
        <v>59</v>
      </c>
      <c r="K43" s="24" t="s">
        <v>73</v>
      </c>
      <c r="L43" s="45" t="s">
        <v>55</v>
      </c>
      <c r="M43" s="45" t="s">
        <v>56</v>
      </c>
      <c r="N43" s="45" t="s">
        <v>57</v>
      </c>
      <c r="O43" s="45" t="s">
        <v>58</v>
      </c>
      <c r="P43" s="45" t="s">
        <v>59</v>
      </c>
    </row>
    <row r="44" spans="1:19" ht="15" thickTop="1" x14ac:dyDescent="0.3">
      <c r="A44" s="53" t="s">
        <v>60</v>
      </c>
      <c r="B44" s="53">
        <f>-0.09128</f>
        <v>-9.128E-2</v>
      </c>
      <c r="C44" s="53">
        <f>0.04412</f>
        <v>4.4119999999999999E-2</v>
      </c>
      <c r="D44" s="53">
        <f>SQRT(B44^2 + C44^2)</f>
        <v>0.10138349372555673</v>
      </c>
      <c r="E44" s="55">
        <f>IF(F44&gt;=0,IF(C44&lt;0,180+F44,F44),IF(C44&gt;=0,180+F44,F44))</f>
        <v>154.20329507560064</v>
      </c>
      <c r="F44" s="53">
        <f>ATAN(C44/B44)/(PI())*180</f>
        <v>-25.796704924399364</v>
      </c>
      <c r="K44" s="53" t="s">
        <v>60</v>
      </c>
      <c r="L44" s="53">
        <f>B44</f>
        <v>-9.128E-2</v>
      </c>
      <c r="M44" s="53">
        <f>C44</f>
        <v>4.4119999999999999E-2</v>
      </c>
      <c r="N44" s="53">
        <f>SQRT(L44^2 + M44^2)</f>
        <v>0.10138349372555673</v>
      </c>
      <c r="O44" s="55">
        <f>IF(P44&gt;=0,IF(M44&lt;0,180+P44,P44),IF(M44&gt;=0,180+P44,P44))</f>
        <v>154.20329507560064</v>
      </c>
      <c r="P44" s="53">
        <f>ATAN(M44/L44)/(PI())*180</f>
        <v>-25.796704924399364</v>
      </c>
    </row>
    <row r="45" spans="1:19" x14ac:dyDescent="0.3">
      <c r="A45" s="53" t="s">
        <v>61</v>
      </c>
      <c r="B45" s="53">
        <f>-0.08137</f>
        <v>-8.1369999999999998E-2</v>
      </c>
      <c r="C45" s="53">
        <f>0.05831</f>
        <v>5.8310000000000001E-2</v>
      </c>
      <c r="D45" s="53">
        <f t="shared" ref="D45:D46" si="10">SQRT(B45^2 + C45^2)</f>
        <v>0.10010560923344905</v>
      </c>
      <c r="E45" s="56">
        <f t="shared" ref="E45:E46" si="11">IF(F45&gt;=0,IF(C45&lt;0,180+F45,F45),IF(C45&gt;=0,180+F45,F45))</f>
        <v>144.37449633798971</v>
      </c>
      <c r="F45" s="53">
        <f>ATAN(C45/B45)/(PI())*180</f>
        <v>-35.625503662010296</v>
      </c>
      <c r="K45" s="53" t="s">
        <v>61</v>
      </c>
      <c r="L45" s="53">
        <f t="shared" ref="L45:M46" si="12">B45</f>
        <v>-8.1369999999999998E-2</v>
      </c>
      <c r="M45" s="53">
        <f t="shared" si="12"/>
        <v>5.8310000000000001E-2</v>
      </c>
      <c r="N45" s="53">
        <f t="shared" ref="N45:N46" si="13">SQRT(L45^2 + M45^2)</f>
        <v>0.10010560923344905</v>
      </c>
      <c r="O45" s="56">
        <f t="shared" ref="O45:O46" si="14">IF(P45&gt;=0,IF(M45&lt;0,180+P45,P45),IF(M45&gt;=0,180+P45,P45))</f>
        <v>144.37449633798971</v>
      </c>
      <c r="P45" s="53">
        <f>ATAN(M45/L45)/(PI())*180</f>
        <v>-35.625503662010296</v>
      </c>
    </row>
    <row r="46" spans="1:19" x14ac:dyDescent="0.3">
      <c r="A46" s="53" t="s">
        <v>62</v>
      </c>
      <c r="B46" s="53">
        <f>-0.09906</f>
        <v>-9.9059999999999995E-2</v>
      </c>
      <c r="C46" s="53">
        <f>0.05919</f>
        <v>5.919E-2</v>
      </c>
      <c r="D46" s="53">
        <f t="shared" si="10"/>
        <v>0.11539644578582132</v>
      </c>
      <c r="E46" s="56">
        <f t="shared" si="11"/>
        <v>149.14097949465381</v>
      </c>
      <c r="F46" s="53">
        <f t="shared" ref="F46" si="15">ATAN(C46/B46)/(PI())*180</f>
        <v>-30.859020505346201</v>
      </c>
      <c r="K46" s="53" t="s">
        <v>62</v>
      </c>
      <c r="L46" s="53">
        <f t="shared" si="12"/>
        <v>-9.9059999999999995E-2</v>
      </c>
      <c r="M46" s="53">
        <f t="shared" si="12"/>
        <v>5.919E-2</v>
      </c>
      <c r="N46" s="53">
        <f t="shared" si="13"/>
        <v>0.11539644578582132</v>
      </c>
      <c r="O46" s="56">
        <f t="shared" si="14"/>
        <v>149.14097949465381</v>
      </c>
      <c r="P46" s="53">
        <f t="shared" ref="P46" si="16">ATAN(M46/L46)/(PI())*180</f>
        <v>-30.859020505346201</v>
      </c>
    </row>
    <row r="47" spans="1:19" ht="15" thickBot="1" x14ac:dyDescent="0.35"/>
    <row r="48" spans="1:19" ht="15" thickBot="1" x14ac:dyDescent="0.35">
      <c r="A48" s="24" t="s">
        <v>64</v>
      </c>
      <c r="H48" s="1" t="s">
        <v>4</v>
      </c>
      <c r="I48" s="2">
        <f>C7*SIN(B16)</f>
        <v>-20.269178028360873</v>
      </c>
      <c r="K48" s="24" t="s">
        <v>64</v>
      </c>
      <c r="R48" s="1" t="s">
        <v>4</v>
      </c>
      <c r="S48" s="2">
        <f>C7*SIN(C16)</f>
        <v>28.572389641300834</v>
      </c>
    </row>
    <row r="49" spans="1:19" ht="15" thickTop="1" x14ac:dyDescent="0.3">
      <c r="A49" s="43" t="s">
        <v>65</v>
      </c>
      <c r="B49" s="44">
        <f>(I50*I51-I48*I53)/(I48*I52-I49*I51)</f>
        <v>8.4641126215482894E-5</v>
      </c>
      <c r="H49" s="8" t="s">
        <v>9</v>
      </c>
      <c r="I49" s="9">
        <f>C6*SIN(B18)</f>
        <v>-25.344222464024103</v>
      </c>
      <c r="K49" s="43" t="s">
        <v>65</v>
      </c>
      <c r="L49" s="44">
        <f>(S50*S51-S48*S53)/(S48*S52-S49*S51)</f>
        <v>5.7348142692699982E-5</v>
      </c>
      <c r="R49" s="8" t="s">
        <v>9</v>
      </c>
      <c r="S49" s="9">
        <f>C6*SIN(C18)</f>
        <v>23.497345205637604</v>
      </c>
    </row>
    <row r="50" spans="1:19" ht="15" thickBot="1" x14ac:dyDescent="0.35">
      <c r="A50" s="43" t="s">
        <v>66</v>
      </c>
      <c r="B50" s="44">
        <f>(I50*I52-I49*I53)/(I48*I52-I49*I51)</f>
        <v>5.7732738796684836E-5</v>
      </c>
      <c r="H50" s="8" t="s">
        <v>14</v>
      </c>
      <c r="I50" s="9">
        <f>(C5*C12*SIN(C10))+(C5*C11^2*COS(C10))+(C6*B33^2*COS(B18))-(C7*B34^2*COS(B16))</f>
        <v>9.7496837167587919E-4</v>
      </c>
      <c r="K50" s="43" t="s">
        <v>66</v>
      </c>
      <c r="L50" s="44">
        <f>(S50*S52-S49*S53)/(S48*S52-S49*S51)</f>
        <v>8.4256530111498021E-5</v>
      </c>
      <c r="R50" s="8" t="s">
        <v>14</v>
      </c>
      <c r="S50" s="9">
        <f>(C5*C12*SIN(C10))+(C5*C11^2*COS(C10))+(C6*L33^2*COS(C18))-(C7*L34^2*COS(C16))</f>
        <v>1.059881302417183E-3</v>
      </c>
    </row>
    <row r="51" spans="1:19" ht="15" thickBot="1" x14ac:dyDescent="0.35">
      <c r="A51" s="24" t="s">
        <v>67</v>
      </c>
      <c r="B51" s="45" t="s">
        <v>55</v>
      </c>
      <c r="C51" s="45" t="s">
        <v>56</v>
      </c>
      <c r="D51" s="45" t="s">
        <v>57</v>
      </c>
      <c r="E51" s="45" t="s">
        <v>58</v>
      </c>
      <c r="F51" s="45" t="s">
        <v>59</v>
      </c>
      <c r="H51" s="8" t="s">
        <v>19</v>
      </c>
      <c r="I51" s="9">
        <f>C7*COS(B16)</f>
        <v>-22.696813037398286</v>
      </c>
      <c r="K51" s="24" t="s">
        <v>67</v>
      </c>
      <c r="L51" s="45" t="s">
        <v>55</v>
      </c>
      <c r="M51" s="45" t="s">
        <v>56</v>
      </c>
      <c r="N51" s="45" t="s">
        <v>57</v>
      </c>
      <c r="O51" s="45" t="s">
        <v>58</v>
      </c>
      <c r="P51" s="45" t="s">
        <v>59</v>
      </c>
      <c r="R51" s="8" t="s">
        <v>19</v>
      </c>
      <c r="S51" s="9">
        <f>C7*COS(C16)</f>
        <v>-10.469166642368673</v>
      </c>
    </row>
    <row r="52" spans="1:19" ht="15" thickTop="1" x14ac:dyDescent="0.3">
      <c r="A52" s="43" t="s">
        <v>68</v>
      </c>
      <c r="B52" s="44">
        <f>-C5*C12*SIN(C10)-C5*C11^2*COS(C10)</f>
        <v>-8.3021024528637732E-4</v>
      </c>
      <c r="C52" s="44">
        <f>C5*C12*COS(C10)-C5*C11^2*SIN(C10)</f>
        <v>-9.8940604242856041E-4</v>
      </c>
      <c r="D52" s="44">
        <f>SQRT(B52^2 + C52^2)</f>
        <v>1.2915778598956444E-3</v>
      </c>
      <c r="E52" s="46">
        <f>IF(F52&gt;=0,IF(C52&lt;0,180+F52,F52),IF(C52&gt;=0,180+F52,F52))</f>
        <v>230</v>
      </c>
      <c r="F52" s="44">
        <f>ATAN(C52/B52)/(PI())*180</f>
        <v>50</v>
      </c>
      <c r="H52" s="8" t="s">
        <v>24</v>
      </c>
      <c r="I52" s="9">
        <f>C6*COS(B18)</f>
        <v>-2.4252809515716032</v>
      </c>
      <c r="K52" s="43" t="s">
        <v>68</v>
      </c>
      <c r="L52" s="44">
        <f>-C5*C12*SIN(C10)-C5*C11^2*COS(C10)</f>
        <v>-8.3021024528637732E-4</v>
      </c>
      <c r="M52" s="44">
        <f>C5*C12*COS(C10)-C5*C11^2*SIN(C10)</f>
        <v>-9.8940604242856041E-4</v>
      </c>
      <c r="N52" s="44">
        <f>SQRT(L52^2 + M52^2)</f>
        <v>1.2915778598956444E-3</v>
      </c>
      <c r="O52" s="46">
        <f>IF(P52&gt;=0,IF(M52&lt;0,180+P52,P52),IF(M52&gt;=0,180+P52,P52))</f>
        <v>230</v>
      </c>
      <c r="P52" s="44">
        <f>ATAN(M52/L52)/(PI())*180</f>
        <v>50</v>
      </c>
      <c r="R52" s="8" t="s">
        <v>24</v>
      </c>
      <c r="S52" s="9">
        <f>C6*COS(C18)</f>
        <v>9.802365443458001</v>
      </c>
    </row>
    <row r="53" spans="1:19" ht="15" thickBot="1" x14ac:dyDescent="0.35">
      <c r="A53" s="43" t="s">
        <v>69</v>
      </c>
      <c r="B53" s="44">
        <f>-C6*B49*SIN(B18)-C6*B33^2*COS(B18)</f>
        <v>2.1465876520555495E-3</v>
      </c>
      <c r="C53" s="44">
        <f>C6*B49*COS(B18)-C6*B33^2*COS(B18)</f>
        <v>-2.0385439148517021E-4</v>
      </c>
      <c r="D53" s="44">
        <f t="shared" ref="D53:D54" si="17">SQRT(B53^2 + C53^2)</f>
        <v>2.156245617012391E-3</v>
      </c>
      <c r="E53" s="46">
        <f t="shared" ref="E53:E54" si="18">IF(F53&gt;=0,IF(C53&lt;0,180+F53,F53),IF(C53&gt;=0,180+F53,F53))</f>
        <v>-5.4249228228401929</v>
      </c>
      <c r="F53" s="44">
        <f>ATAN(C53/B53)/(PI())*180</f>
        <v>-5.4249228228401929</v>
      </c>
      <c r="H53" s="16" t="s">
        <v>29</v>
      </c>
      <c r="I53" s="17">
        <f>(C5*C12*COS(C10))-(C5*C11^2*SIN(C10))-(C6*B33^2*SIN(B18))+(C7*B34^2*SIN(B16))</f>
        <v>-1.1050706674753277E-3</v>
      </c>
      <c r="K53" s="43" t="s">
        <v>69</v>
      </c>
      <c r="L53" s="44">
        <f>-C6*L49*SIN(C18)-C6*L33^2*COS(C18)</f>
        <v>-1.558529859013281E-3</v>
      </c>
      <c r="M53" s="44">
        <f>C6*L49*COS(C18)-C6*L33^2*SIN(C18)</f>
        <v>5.635550159000381E-5</v>
      </c>
      <c r="N53" s="44">
        <f t="shared" ref="N53:N54" si="19">SQRT(L53^2 + M53^2)</f>
        <v>1.5595484166884396E-3</v>
      </c>
      <c r="O53" s="46">
        <f t="shared" ref="O53:O54" si="20">IF(P53&gt;=0,IF(M53&lt;0,180+P53,P53),IF(M53&gt;=0,180+P53,P53))</f>
        <v>177.92912134524028</v>
      </c>
      <c r="P53" s="44">
        <f>ATAN(M53/L53)/(PI())*180</f>
        <v>-2.0708786547597358</v>
      </c>
      <c r="R53" s="16" t="s">
        <v>29</v>
      </c>
      <c r="S53" s="17">
        <f>(C5*C12*COS(C10))-(C5*C11^2*SIN(C10))-(C6*L33^2*SIN(C18))+(C7*L34^2*SIN(C16))</f>
        <v>-1.4442431066224474E-3</v>
      </c>
    </row>
    <row r="54" spans="1:19" ht="15" thickBot="1" x14ac:dyDescent="0.35">
      <c r="A54" s="43" t="s">
        <v>70</v>
      </c>
      <c r="B54" s="44">
        <f>-C7*B50*SIN(B16)-C7*B34^2*COS(B16)</f>
        <v>1.3163774067691718E-3</v>
      </c>
      <c r="C54" s="44">
        <f>C7*B50*SIN(B16)-C7*B34^2*COS(B16)</f>
        <v>-1.0240129147005513E-3</v>
      </c>
      <c r="D54" s="44">
        <f t="shared" si="17"/>
        <v>1.6677685470489747E-3</v>
      </c>
      <c r="E54" s="46">
        <f t="shared" si="18"/>
        <v>-37.879426136998482</v>
      </c>
      <c r="F54" s="44">
        <f t="shared" ref="F54" si="21">ATAN(C54/B54)/(PI())*180</f>
        <v>-37.879426136998482</v>
      </c>
      <c r="K54" s="43" t="s">
        <v>70</v>
      </c>
      <c r="L54" s="44">
        <f>-C7*L50*SIN(C16)-C7*L34^2*COS(C16)</f>
        <v>-2.3887401042996582E-3</v>
      </c>
      <c r="M54" s="44">
        <f>C7*L50*COS(C16)-C7*L34^2*SIN(C16)</f>
        <v>-9.3305054083855682E-4</v>
      </c>
      <c r="N54" s="44">
        <f t="shared" si="19"/>
        <v>2.5645004577205021E-3</v>
      </c>
      <c r="O54" s="46">
        <f t="shared" si="20"/>
        <v>201.33579665689808</v>
      </c>
      <c r="P54" s="44">
        <f t="shared" ref="P54" si="22">ATAN(M54/L54)/(PI())*180</f>
        <v>21.335796656898076</v>
      </c>
    </row>
    <row r="55" spans="1:19" ht="15" thickBot="1" x14ac:dyDescent="0.35">
      <c r="A55" s="24" t="s">
        <v>74</v>
      </c>
      <c r="B55" s="45" t="s">
        <v>55</v>
      </c>
      <c r="C55" s="45" t="s">
        <v>56</v>
      </c>
      <c r="D55" s="45" t="s">
        <v>57</v>
      </c>
      <c r="E55" s="45" t="s">
        <v>58</v>
      </c>
      <c r="F55" s="45" t="s">
        <v>59</v>
      </c>
      <c r="K55" s="24" t="s">
        <v>74</v>
      </c>
      <c r="L55" s="45" t="s">
        <v>55</v>
      </c>
      <c r="M55" s="45" t="s">
        <v>56</v>
      </c>
      <c r="N55" s="45" t="s">
        <v>57</v>
      </c>
      <c r="O55" s="45" t="s">
        <v>58</v>
      </c>
      <c r="P55" s="45" t="s">
        <v>59</v>
      </c>
    </row>
    <row r="56" spans="1:19" ht="15" thickTop="1" x14ac:dyDescent="0.3">
      <c r="A56" s="58" t="s">
        <v>68</v>
      </c>
      <c r="B56" s="53">
        <f>-0.000261</f>
        <v>-2.61E-4</v>
      </c>
      <c r="C56" s="53">
        <f>-0.001153</f>
        <v>-1.1529999999999999E-3</v>
      </c>
      <c r="D56" s="53">
        <f>SQRT(B56^2 + C56^2)</f>
        <v>1.1821717303336263E-3</v>
      </c>
      <c r="E56" s="55">
        <f>IF(F56&gt;=0,IF(C56&lt;0,180+F56,F56),IF(C56&gt;=0,180+F56,F56))</f>
        <v>257.24514350323835</v>
      </c>
      <c r="F56" s="53">
        <f>ATAN(C56/B56)/(PI())*180</f>
        <v>77.245143503238367</v>
      </c>
      <c r="K56" s="58" t="s">
        <v>68</v>
      </c>
      <c r="L56" s="53">
        <f>B56</f>
        <v>-2.61E-4</v>
      </c>
      <c r="M56" s="53">
        <f>C56</f>
        <v>-1.1529999999999999E-3</v>
      </c>
      <c r="N56" s="53">
        <f>SQRT(L56^2 + M56^2)</f>
        <v>1.1821717303336263E-3</v>
      </c>
      <c r="O56" s="55">
        <f>IF(P56&gt;=0,IF(M56&lt;0,180+P56,P56),IF(M56&gt;=0,180+P56,P56))</f>
        <v>257.24514350323835</v>
      </c>
      <c r="P56" s="53">
        <f>ATAN(M56/L56)/(PI())*180</f>
        <v>77.245143503238367</v>
      </c>
    </row>
    <row r="57" spans="1:19" x14ac:dyDescent="0.3">
      <c r="A57" s="58" t="s">
        <v>69</v>
      </c>
      <c r="B57" s="53">
        <f>0.0002714</f>
        <v>2.7139999999999998E-4</v>
      </c>
      <c r="C57" s="53">
        <f>-0.0006398</f>
        <v>-6.3980000000000005E-4</v>
      </c>
      <c r="D57" s="53">
        <f t="shared" ref="D57:D58" si="23">SQRT(B57^2 + C57^2)</f>
        <v>6.949834530404304E-4</v>
      </c>
      <c r="E57" s="56">
        <f t="shared" ref="E57:E58" si="24">IF(F57&gt;=0,IF(C57&lt;0,180+F57,F57),IF(C57&gt;=0,180+F57,F57))</f>
        <v>-67.013583032523073</v>
      </c>
      <c r="F57" s="53">
        <f>ATAN(C57/B57)/(PI())*180</f>
        <v>-67.013583032523073</v>
      </c>
      <c r="K57" s="58" t="s">
        <v>69</v>
      </c>
      <c r="L57" s="53">
        <f t="shared" ref="L57:M58" si="25">B57</f>
        <v>2.7139999999999998E-4</v>
      </c>
      <c r="M57" s="53">
        <f t="shared" si="25"/>
        <v>-6.3980000000000005E-4</v>
      </c>
      <c r="N57" s="53">
        <f t="shared" ref="N57:N58" si="26">SQRT(L57^2 + M57^2)</f>
        <v>6.949834530404304E-4</v>
      </c>
      <c r="O57" s="56">
        <f t="shared" ref="O57:O58" si="27">IF(P57&gt;=0,IF(M57&lt;0,180+P57,P57),IF(M57&gt;=0,180+P57,P57))</f>
        <v>-67.013583032523073</v>
      </c>
      <c r="P57" s="53">
        <f>ATAN(M57/L57)/(PI())*180</f>
        <v>-67.013583032523073</v>
      </c>
    </row>
    <row r="58" spans="1:19" x14ac:dyDescent="0.3">
      <c r="A58" s="58" t="s">
        <v>70</v>
      </c>
      <c r="B58" s="53">
        <v>0</v>
      </c>
      <c r="C58" s="53">
        <f>-0.0006045</f>
        <v>-6.045E-4</v>
      </c>
      <c r="D58" s="53">
        <f t="shared" si="23"/>
        <v>6.045E-4</v>
      </c>
      <c r="E58" s="56" t="e">
        <f t="shared" si="24"/>
        <v>#DIV/0!</v>
      </c>
      <c r="F58" s="53" t="e">
        <f t="shared" ref="F58" si="28">ATAN(C58/B58)/(PI())*180</f>
        <v>#DIV/0!</v>
      </c>
      <c r="K58" s="58" t="s">
        <v>70</v>
      </c>
      <c r="L58" s="53">
        <v>-2E-3</v>
      </c>
      <c r="M58" s="53">
        <f t="shared" si="25"/>
        <v>-6.045E-4</v>
      </c>
      <c r="N58" s="53">
        <f t="shared" si="26"/>
        <v>2.0893588131290423E-3</v>
      </c>
      <c r="O58" s="56">
        <f t="shared" si="27"/>
        <v>196.8174419748681</v>
      </c>
      <c r="P58" s="53">
        <f t="shared" ref="P58" si="29">ATAN(M58/L58)/(PI())*180</f>
        <v>16.8174419748681</v>
      </c>
    </row>
  </sheetData>
  <mergeCells count="11">
    <mergeCell ref="A1:H2"/>
    <mergeCell ref="J1:K1"/>
    <mergeCell ref="J2:K2"/>
    <mergeCell ref="A4:C4"/>
    <mergeCell ref="E4:F4"/>
    <mergeCell ref="K4:L4"/>
    <mergeCell ref="A22:A23"/>
    <mergeCell ref="B22:B23"/>
    <mergeCell ref="A29:A30"/>
    <mergeCell ref="A9:A10"/>
    <mergeCell ref="A13:B13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268F-C165-4BE2-BEAB-B51C5DA0DC7F}">
  <sheetPr codeName="Hoja5"/>
  <dimension ref="A1:S58"/>
  <sheetViews>
    <sheetView tabSelected="1" topLeftCell="A4" zoomScale="85" zoomScaleNormal="85" workbookViewId="0">
      <selection activeCell="C46" sqref="C46"/>
    </sheetView>
  </sheetViews>
  <sheetFormatPr baseColWidth="10" defaultRowHeight="14.4" x14ac:dyDescent="0.3"/>
  <cols>
    <col min="1" max="1" width="33.6640625" bestFit="1" customWidth="1"/>
    <col min="2" max="3" width="13.44140625" bestFit="1" customWidth="1"/>
    <col min="4" max="4" width="16.88671875" customWidth="1"/>
    <col min="7" max="7" width="14.109375" bestFit="1" customWidth="1"/>
    <col min="11" max="11" width="34.109375" bestFit="1" customWidth="1"/>
    <col min="12" max="12" width="12.21875" bestFit="1" customWidth="1"/>
    <col min="13" max="13" width="12.77734375" bestFit="1" customWidth="1"/>
    <col min="17" max="17" width="14.109375" bestFit="1" customWidth="1"/>
  </cols>
  <sheetData>
    <row r="1" spans="1:12" x14ac:dyDescent="0.3">
      <c r="A1" s="71" t="s">
        <v>0</v>
      </c>
      <c r="B1" s="72"/>
      <c r="C1" s="72"/>
      <c r="D1" s="72"/>
      <c r="E1" s="72"/>
      <c r="F1" s="72"/>
      <c r="G1" s="72"/>
      <c r="H1" s="73"/>
      <c r="J1" s="77" t="s">
        <v>1</v>
      </c>
      <c r="K1" s="77"/>
    </row>
    <row r="2" spans="1:12" ht="15" thickBot="1" x14ac:dyDescent="0.35">
      <c r="A2" s="74"/>
      <c r="B2" s="75"/>
      <c r="C2" s="75"/>
      <c r="D2" s="75"/>
      <c r="E2" s="75"/>
      <c r="F2" s="75"/>
      <c r="G2" s="75"/>
      <c r="H2" s="76"/>
      <c r="J2" s="78" t="s">
        <v>2</v>
      </c>
      <c r="K2" s="78"/>
    </row>
    <row r="3" spans="1:12" ht="15" thickBot="1" x14ac:dyDescent="0.35"/>
    <row r="4" spans="1:12" ht="15" thickBot="1" x14ac:dyDescent="0.35">
      <c r="A4" s="79" t="s">
        <v>71</v>
      </c>
      <c r="B4" s="80"/>
      <c r="C4" s="81"/>
      <c r="E4" s="79" t="s">
        <v>3</v>
      </c>
      <c r="F4" s="81"/>
      <c r="H4" s="1" t="s">
        <v>4</v>
      </c>
      <c r="I4" s="2">
        <f>COS(C10)-F5-(F6*COS(C10))+F7</f>
        <v>-1.4428170792341719</v>
      </c>
      <c r="K4" s="79" t="s">
        <v>5</v>
      </c>
      <c r="L4" s="81"/>
    </row>
    <row r="5" spans="1:12" ht="15" thickTop="1" x14ac:dyDescent="0.3">
      <c r="A5" s="3" t="s">
        <v>6</v>
      </c>
      <c r="B5" s="4" t="s">
        <v>7</v>
      </c>
      <c r="C5" s="5">
        <v>6.625</v>
      </c>
      <c r="E5" s="6" t="s">
        <v>8</v>
      </c>
      <c r="F5" s="7">
        <f>C8/C5</f>
        <v>3.7026415094339624</v>
      </c>
      <c r="H5" s="8" t="s">
        <v>9</v>
      </c>
      <c r="I5" s="9">
        <f>-2*SIN(C10)</f>
        <v>-1.9753766811902755</v>
      </c>
      <c r="K5" s="10" t="s">
        <v>10</v>
      </c>
      <c r="L5" s="11">
        <f>MIN(C5:C8)</f>
        <v>6.625</v>
      </c>
    </row>
    <row r="6" spans="1:12" x14ac:dyDescent="0.3">
      <c r="A6" s="3" t="s">
        <v>11</v>
      </c>
      <c r="B6" s="4" t="s">
        <v>12</v>
      </c>
      <c r="C6" s="5">
        <v>25.46</v>
      </c>
      <c r="E6" s="6" t="s">
        <v>13</v>
      </c>
      <c r="F6" s="7">
        <f>C8/C7</f>
        <v>0.80611238908971417</v>
      </c>
      <c r="H6" s="8" t="s">
        <v>14</v>
      </c>
      <c r="I6" s="9">
        <f>F5-(F6+1)*COS(C10)+F7</f>
        <v>6.2753348697142144</v>
      </c>
      <c r="K6" s="10" t="s">
        <v>15</v>
      </c>
      <c r="L6" s="11">
        <f>MAX(C5:C8)</f>
        <v>30.43</v>
      </c>
    </row>
    <row r="7" spans="1:12" x14ac:dyDescent="0.3">
      <c r="A7" s="3" t="s">
        <v>16</v>
      </c>
      <c r="B7" s="4" t="s">
        <v>17</v>
      </c>
      <c r="C7" s="5">
        <v>30.43</v>
      </c>
      <c r="E7" s="6" t="s">
        <v>18</v>
      </c>
      <c r="F7" s="7">
        <f>(C5^(2)-C6^(2)+C7^(2)+C8^(2))/(2*C5*C7)</f>
        <v>2.2901551348904694</v>
      </c>
      <c r="H7" s="8" t="s">
        <v>19</v>
      </c>
      <c r="I7" s="9">
        <f>COS(C10)-F5+(F8*COS(C10)+F9)</f>
        <v>-5.1001880286428882</v>
      </c>
      <c r="K7" s="10" t="s">
        <v>20</v>
      </c>
      <c r="L7" s="11">
        <f>ABS((L5+L6)-SUM(C5:C8))</f>
        <v>49.99</v>
      </c>
    </row>
    <row r="8" spans="1:12" ht="15" thickBot="1" x14ac:dyDescent="0.35">
      <c r="A8" s="3" t="s">
        <v>21</v>
      </c>
      <c r="B8" s="4" t="s">
        <v>22</v>
      </c>
      <c r="C8" s="5">
        <v>24.53</v>
      </c>
      <c r="E8" s="6" t="s">
        <v>23</v>
      </c>
      <c r="F8" s="7">
        <f>C8/C6</f>
        <v>0.96347211311861747</v>
      </c>
      <c r="H8" s="8" t="s">
        <v>24</v>
      </c>
      <c r="I8" s="9">
        <f>-2*SIN(C10)</f>
        <v>-1.9753766811902755</v>
      </c>
      <c r="K8" s="12" t="s">
        <v>25</v>
      </c>
      <c r="L8" s="13">
        <f>L5+L6</f>
        <v>37.055</v>
      </c>
    </row>
    <row r="9" spans="1:12" ht="15.6" thickTop="1" thickBot="1" x14ac:dyDescent="0.35">
      <c r="A9" s="64" t="s">
        <v>26</v>
      </c>
      <c r="B9" s="4" t="s">
        <v>27</v>
      </c>
      <c r="C9" s="50">
        <v>99</v>
      </c>
      <c r="E9" s="14" t="s">
        <v>28</v>
      </c>
      <c r="F9" s="15">
        <f>(C7^(2)-C8^(2)-C5^(2)-C6^(2))/(2*C5*C6)</f>
        <v>-1.0903918095718035</v>
      </c>
      <c r="H9" s="16" t="s">
        <v>29</v>
      </c>
      <c r="I9" s="17">
        <f>F5+(F8-1)*COS(C10)+F9</f>
        <v>2.6179639203054981</v>
      </c>
    </row>
    <row r="10" spans="1:12" ht="15.6" thickTop="1" thickBot="1" x14ac:dyDescent="0.35">
      <c r="A10" s="65"/>
      <c r="B10" s="18" t="s">
        <v>30</v>
      </c>
      <c r="C10" s="19">
        <f>RADIANS(C9)</f>
        <v>1.7278759594743862</v>
      </c>
      <c r="K10" s="20" t="s">
        <v>2</v>
      </c>
      <c r="L10" s="21" t="str">
        <f>IF(L8&lt;L7,"GRASHOF",IF(L8&gt;L7,"NO GRASHOF","ESPECIAL GRASHOF"))</f>
        <v>GRASHOF</v>
      </c>
    </row>
    <row r="11" spans="1:12" ht="16.2" customHeight="1" thickBot="1" x14ac:dyDescent="4.2">
      <c r="A11" s="57" t="s">
        <v>31</v>
      </c>
      <c r="B11" s="59">
        <v>0.9</v>
      </c>
      <c r="C11" s="54">
        <f>RADIANS(B11)</f>
        <v>1.5707963267948967E-2</v>
      </c>
      <c r="G11" s="22"/>
    </row>
    <row r="12" spans="1:12" ht="15" thickBot="1" x14ac:dyDescent="0.35">
      <c r="A12" s="57" t="s">
        <v>32</v>
      </c>
      <c r="B12" s="59">
        <v>0</v>
      </c>
      <c r="C12" s="54">
        <f>RADIANS(B12)</f>
        <v>0</v>
      </c>
    </row>
    <row r="13" spans="1:12" ht="15" thickBot="1" x14ac:dyDescent="0.35">
      <c r="A13" s="66" t="s">
        <v>33</v>
      </c>
      <c r="B13" s="67"/>
      <c r="C13" s="23">
        <v>0</v>
      </c>
    </row>
    <row r="14" spans="1:12" ht="15" thickBot="1" x14ac:dyDescent="0.35"/>
    <row r="15" spans="1:12" ht="15" thickBot="1" x14ac:dyDescent="0.35">
      <c r="A15" s="24" t="s">
        <v>34</v>
      </c>
      <c r="B15" s="25" t="s">
        <v>35</v>
      </c>
      <c r="C15" s="26" t="s">
        <v>36</v>
      </c>
      <c r="D15" s="26" t="s">
        <v>72</v>
      </c>
      <c r="E15" s="49"/>
      <c r="F15" s="49"/>
    </row>
    <row r="16" spans="1:12" ht="15" thickTop="1" x14ac:dyDescent="0.3">
      <c r="A16" s="27" t="s">
        <v>37</v>
      </c>
      <c r="B16" s="28">
        <f>2*ATAN(((-I5+SQRT(I5^2-4*(I4*I6)))/(2*I4)))</f>
        <v>-2.4730986417970016</v>
      </c>
      <c r="C16" s="29">
        <f>2*ATAN(((-I5-SQRT(I5^2-4*(I4*I6)))/(2*I4)))</f>
        <v>1.9719775942704889</v>
      </c>
      <c r="D16" s="50">
        <f>RADIANS(D17)</f>
        <v>1.9512781037296605</v>
      </c>
    </row>
    <row r="17" spans="1:11" x14ac:dyDescent="0.3">
      <c r="A17" s="27" t="s">
        <v>38</v>
      </c>
      <c r="B17" s="30">
        <f>DEGREES(B16)</f>
        <v>-141.69811449450435</v>
      </c>
      <c r="C17" s="31">
        <f>DEGREES(C16)</f>
        <v>112.98599344606045</v>
      </c>
      <c r="D17" s="52">
        <f>180-68.2</f>
        <v>111.8</v>
      </c>
      <c r="E17" s="49" t="s">
        <v>75</v>
      </c>
      <c r="F17" s="49"/>
    </row>
    <row r="18" spans="1:11" x14ac:dyDescent="0.3">
      <c r="A18" s="30" t="s">
        <v>39</v>
      </c>
      <c r="B18" s="28">
        <f>2*ATAN(((-I8+SQRT(I8^2-4*(I7*I9)))/(2*I7)))</f>
        <v>-1.5045163072291623</v>
      </c>
      <c r="C18" s="29">
        <f>2*ATAN(((-I8-SQRT(I8^2-4*(I7*I9)))/(2*I7)))</f>
        <v>1.0033952597026494</v>
      </c>
      <c r="D18" s="50">
        <f>RADIANS(D19)</f>
        <v>1.0995574287564276</v>
      </c>
    </row>
    <row r="19" spans="1:11" ht="15" thickBot="1" x14ac:dyDescent="0.35">
      <c r="A19" s="32" t="s">
        <v>40</v>
      </c>
      <c r="B19" s="33">
        <f>DEGREES(B18)</f>
        <v>-86.202434612838914</v>
      </c>
      <c r="C19" s="34">
        <f>DEGREES(C18)</f>
        <v>57.490313564394981</v>
      </c>
      <c r="D19" s="51">
        <f>180-117</f>
        <v>63</v>
      </c>
    </row>
    <row r="21" spans="1:11" ht="15" thickBot="1" x14ac:dyDescent="0.35"/>
    <row r="22" spans="1:11" ht="15" thickBot="1" x14ac:dyDescent="0.35">
      <c r="A22" s="68" t="s">
        <v>41</v>
      </c>
      <c r="B22" s="69">
        <f>ABS(B17-B19)</f>
        <v>55.495679881665438</v>
      </c>
      <c r="C22" s="35" t="s">
        <v>42</v>
      </c>
    </row>
    <row r="23" spans="1:11" ht="15.6" thickTop="1" thickBot="1" x14ac:dyDescent="0.35">
      <c r="A23" s="65"/>
      <c r="B23" s="70"/>
      <c r="C23" s="36" t="str">
        <f>IF(B22&gt;90,B22-PI(),"NA")</f>
        <v>NA</v>
      </c>
    </row>
    <row r="24" spans="1:11" ht="15" thickBot="1" x14ac:dyDescent="0.35"/>
    <row r="25" spans="1:11" ht="15" thickBot="1" x14ac:dyDescent="0.35">
      <c r="A25" s="24" t="s">
        <v>43</v>
      </c>
      <c r="B25" s="25" t="s">
        <v>44</v>
      </c>
      <c r="C25" s="26" t="s">
        <v>30</v>
      </c>
    </row>
    <row r="26" spans="1:11" ht="15" thickTop="1" x14ac:dyDescent="0.3">
      <c r="A26" s="27" t="s">
        <v>45</v>
      </c>
      <c r="B26" s="37">
        <f>DEGREES(C26)</f>
        <v>35.997533770550262</v>
      </c>
      <c r="C26" s="38">
        <f>ACOS(((C6^2)+(C7^2)-(C8-C5)^2)/(2*C6*C7))</f>
        <v>0.62827548689395107</v>
      </c>
    </row>
    <row r="27" spans="1:11" ht="15" thickBot="1" x14ac:dyDescent="0.35">
      <c r="A27" s="32" t="s">
        <v>46</v>
      </c>
      <c r="B27" s="39">
        <f>DEGREES(C27)</f>
        <v>112.92475409184173</v>
      </c>
      <c r="C27" s="40">
        <f>PI()-ACOS(((C6^2)+(C7^2)-(C8+C5)^2)/(2*C6*C7))</f>
        <v>1.9709087659075775</v>
      </c>
    </row>
    <row r="28" spans="1:11" ht="15" thickBot="1" x14ac:dyDescent="0.35"/>
    <row r="29" spans="1:11" ht="15" thickBot="1" x14ac:dyDescent="0.35">
      <c r="A29" s="68" t="s">
        <v>47</v>
      </c>
      <c r="B29" s="25" t="s">
        <v>48</v>
      </c>
      <c r="C29" s="26" t="s">
        <v>49</v>
      </c>
    </row>
    <row r="30" spans="1:11" ht="15.6" thickTop="1" thickBot="1" x14ac:dyDescent="0.35">
      <c r="A30" s="65"/>
      <c r="B30" s="41" t="e">
        <f>ACOS((C5^2 + C8^2 - C6^2 - C7^2) / (2*C5*C8) + C6*C7 / (C5*C8))</f>
        <v>#NUM!</v>
      </c>
      <c r="C30" s="42" t="e">
        <f>ACOS((C5^2 + C8^2 - C6^2 - C7^2) / (2*C5*C8) - C6*C7 / (C5*C8))</f>
        <v>#NUM!</v>
      </c>
    </row>
    <row r="31" spans="1:11" ht="15" thickBot="1" x14ac:dyDescent="0.35"/>
    <row r="32" spans="1:11" ht="15" thickBot="1" x14ac:dyDescent="0.35">
      <c r="A32" s="24" t="s">
        <v>50</v>
      </c>
      <c r="K32" s="24" t="s">
        <v>51</v>
      </c>
    </row>
    <row r="33" spans="1:19" ht="15" thickTop="1" x14ac:dyDescent="0.3">
      <c r="A33" s="43" t="s">
        <v>52</v>
      </c>
      <c r="B33" s="44">
        <f>(C5*C11/C6)*(SIN(RADIANS(B17-C9))/SIN(RADIANS(B19-B17)))</f>
        <v>4.3253286949056363E-3</v>
      </c>
      <c r="K33" s="43" t="s">
        <v>52</v>
      </c>
      <c r="L33" s="44">
        <f>(C5*C11/C6)*(SIN(RADIANS(C17-C9))/SIN(RADIANS(C19-C17)))</f>
        <v>-1.1987408125077035E-3</v>
      </c>
    </row>
    <row r="34" spans="1:19" ht="15" thickBot="1" x14ac:dyDescent="0.35">
      <c r="A34" s="43" t="s">
        <v>53</v>
      </c>
      <c r="B34" s="44">
        <f>(C5*C11/C7)*(SIN(RADIANS(C9-B19))/SIN(RADIANS(B17-B19)))</f>
        <v>3.7628739613149295E-4</v>
      </c>
      <c r="K34" s="43" t="s">
        <v>53</v>
      </c>
      <c r="L34" s="44">
        <f>(C5*C11/C7)*(SIN(RADIANS(C9-C19))/SIN(RADIANS(C17-C19)))</f>
        <v>2.7503004862664397E-3</v>
      </c>
    </row>
    <row r="35" spans="1:19" ht="15" thickBot="1" x14ac:dyDescent="0.35">
      <c r="A35" s="24" t="s">
        <v>54</v>
      </c>
      <c r="B35" s="45" t="s">
        <v>55</v>
      </c>
      <c r="C35" s="45" t="s">
        <v>56</v>
      </c>
      <c r="D35" s="45" t="s">
        <v>57</v>
      </c>
      <c r="E35" s="45" t="s">
        <v>58</v>
      </c>
      <c r="F35" s="45" t="s">
        <v>59</v>
      </c>
      <c r="K35" s="24" t="s">
        <v>54</v>
      </c>
      <c r="L35" s="45" t="s">
        <v>55</v>
      </c>
      <c r="M35" s="45" t="s">
        <v>56</v>
      </c>
      <c r="N35" s="45" t="s">
        <v>57</v>
      </c>
      <c r="O35" s="45" t="s">
        <v>58</v>
      </c>
      <c r="P35" s="45" t="s">
        <v>59</v>
      </c>
    </row>
    <row r="36" spans="1:19" ht="15" thickTop="1" x14ac:dyDescent="0.3">
      <c r="A36" s="43" t="s">
        <v>60</v>
      </c>
      <c r="B36" s="44">
        <f>C5*C11*(-SIN(RADIANS(C9)))</f>
        <v>-0.10278404065440554</v>
      </c>
      <c r="C36" s="44">
        <f>C5*C11*(COS(RADIANS(C9)))</f>
        <v>-1.6279392753342399E-2</v>
      </c>
      <c r="D36" s="44">
        <f>SQRT(B36^2 + C36^2)</f>
        <v>0.10406525665016191</v>
      </c>
      <c r="E36" s="47">
        <f>IF(F36&gt;=0,IF(C36&lt;0,180+F36,F36),IF(C36&gt;=0,180+F36,F36))</f>
        <v>189</v>
      </c>
      <c r="F36" s="44">
        <f>ATAN(C36/B36)/(PI())*180</f>
        <v>8.9999999999999964</v>
      </c>
      <c r="K36" s="43" t="s">
        <v>60</v>
      </c>
      <c r="L36" s="44">
        <f>C5*C11*(-SIN(RADIANS(C9)))</f>
        <v>-0.10278404065440554</v>
      </c>
      <c r="M36" s="44">
        <f>C5*C11*(COS(RADIANS(C9)))</f>
        <v>-1.6279392753342399E-2</v>
      </c>
      <c r="N36" s="44">
        <f>SQRT(L36^2 + M36^2)</f>
        <v>0.10406525665016191</v>
      </c>
      <c r="O36" s="47">
        <f>IF(P36&gt;=0,IF(M36&lt;0,180+P36,P36),IF(M36&gt;=0,180+P36,P36))</f>
        <v>189</v>
      </c>
      <c r="P36" s="44">
        <f>ATAN(M36/L36)/(PI())*180</f>
        <v>8.9999999999999964</v>
      </c>
    </row>
    <row r="37" spans="1:19" x14ac:dyDescent="0.3">
      <c r="A37" s="43" t="s">
        <v>61</v>
      </c>
      <c r="B37" s="44">
        <f>C6*B33*(-SIN(RADIANS(B19)))</f>
        <v>0.10988106997302022</v>
      </c>
      <c r="C37" s="44">
        <f>C6*B33*(COS(RADIANS(B19)))</f>
        <v>7.2936029625790691E-3</v>
      </c>
      <c r="D37" s="44">
        <f t="shared" ref="D37:D38" si="0">SQRT(B37^2 + C37^2)</f>
        <v>0.1101228685722975</v>
      </c>
      <c r="E37" s="46">
        <f t="shared" ref="E37:E38" si="1">IF(F37&gt;=0,IF(C37&lt;0,180+F37,F37),IF(C37&gt;=0,180+F37,F37))</f>
        <v>3.7975653871610837</v>
      </c>
      <c r="F37" s="44">
        <f>ATAN(C37/B37)/(PI())*180</f>
        <v>3.7975653871610837</v>
      </c>
      <c r="K37" s="43" t="s">
        <v>61</v>
      </c>
      <c r="L37" s="44">
        <f>C6*B33*(-SIN(RADIANS(C19)))</f>
        <v>-9.2866680896774967E-2</v>
      </c>
      <c r="M37" s="44">
        <f>C6*B33*(COS(RADIANS(C19)))</f>
        <v>5.9184675058735259E-2</v>
      </c>
      <c r="N37" s="44">
        <f t="shared" ref="N37:N38" si="2">SQRT(L37^2 + M37^2)</f>
        <v>0.1101228685722975</v>
      </c>
      <c r="O37" s="46">
        <f t="shared" ref="O37:O38" si="3">IF(P37&gt;=0,IF(M37&lt;0,180+P37,P37),IF(M37&gt;=0,180+P37,P37))</f>
        <v>147.49031356439497</v>
      </c>
      <c r="P37" s="44">
        <f>ATAN(M37/L37)/(PI())*180</f>
        <v>-32.509686435605033</v>
      </c>
    </row>
    <row r="38" spans="1:19" ht="15" thickBot="1" x14ac:dyDescent="0.35">
      <c r="A38" s="43" t="s">
        <v>62</v>
      </c>
      <c r="B38" s="44">
        <f>C7*B34*(-SIN(RADIANS(B17)))</f>
        <v>7.0970293186146706E-3</v>
      </c>
      <c r="C38" s="44">
        <f>C7*B34*(COS(RADIANS(B17)))</f>
        <v>-8.98578979076331E-3</v>
      </c>
      <c r="D38" s="44">
        <f t="shared" si="0"/>
        <v>1.1450425464281332E-2</v>
      </c>
      <c r="E38" s="46">
        <f t="shared" si="1"/>
        <v>-51.69811449450436</v>
      </c>
      <c r="F38" s="44">
        <f t="shared" ref="F38" si="4">ATAN(C38/B38)/(PI())*180</f>
        <v>-51.69811449450436</v>
      </c>
      <c r="K38" s="43" t="s">
        <v>62</v>
      </c>
      <c r="L38" s="44">
        <f>C7*B34*(-SIN(RADIANS(C17)))</f>
        <v>-1.0541265624418854E-2</v>
      </c>
      <c r="M38" s="44">
        <f>C7*B34*(COS(RADIANS(C17)))</f>
        <v>-4.4714608740888838E-3</v>
      </c>
      <c r="N38" s="44">
        <f t="shared" si="2"/>
        <v>1.1450425464281331E-2</v>
      </c>
      <c r="O38" s="46">
        <f t="shared" si="3"/>
        <v>202.98599344606043</v>
      </c>
      <c r="P38" s="44">
        <f t="shared" ref="P38" si="5">ATAN(M38/L38)/(PI())*180</f>
        <v>22.985993446060434</v>
      </c>
    </row>
    <row r="39" spans="1:19" ht="15" thickBot="1" x14ac:dyDescent="0.35">
      <c r="A39" s="24" t="s">
        <v>63</v>
      </c>
      <c r="B39" s="45" t="s">
        <v>55</v>
      </c>
      <c r="C39" s="45" t="s">
        <v>56</v>
      </c>
      <c r="D39" s="45" t="s">
        <v>57</v>
      </c>
      <c r="E39" s="45" t="s">
        <v>58</v>
      </c>
      <c r="F39" s="48"/>
      <c r="K39" s="24" t="s">
        <v>63</v>
      </c>
      <c r="L39" s="45" t="s">
        <v>55</v>
      </c>
      <c r="M39" s="45" t="s">
        <v>56</v>
      </c>
      <c r="N39" s="45" t="s">
        <v>57</v>
      </c>
      <c r="O39" s="45" t="s">
        <v>58</v>
      </c>
      <c r="P39" s="48"/>
    </row>
    <row r="40" spans="1:19" ht="15" thickTop="1" x14ac:dyDescent="0.3">
      <c r="A40" s="43" t="s">
        <v>60</v>
      </c>
      <c r="B40" s="44">
        <f>$C$13+B36</f>
        <v>-0.10278404065440554</v>
      </c>
      <c r="C40" s="44">
        <f>$C$13+C36</f>
        <v>-1.6279392753342399E-2</v>
      </c>
      <c r="D40" s="44">
        <f>D36</f>
        <v>0.10406525665016191</v>
      </c>
      <c r="E40" s="46">
        <f>E36+RADIANS(C13)</f>
        <v>189</v>
      </c>
      <c r="F40" s="48"/>
      <c r="K40" s="43" t="s">
        <v>60</v>
      </c>
      <c r="L40" s="44">
        <f>$C$13+L36</f>
        <v>-0.10278404065440554</v>
      </c>
      <c r="M40" s="44">
        <f>$C$13+M36</f>
        <v>-1.6279392753342399E-2</v>
      </c>
      <c r="N40" s="44">
        <f>N36</f>
        <v>0.10406525665016191</v>
      </c>
      <c r="O40" s="46">
        <f>O36+RADIANS(M13)</f>
        <v>189</v>
      </c>
      <c r="P40" s="48"/>
    </row>
    <row r="41" spans="1:19" x14ac:dyDescent="0.3">
      <c r="A41" s="43" t="s">
        <v>61</v>
      </c>
      <c r="B41" s="44">
        <f t="shared" ref="B41:C42" si="6">$C$13+B37</f>
        <v>0.10988106997302022</v>
      </c>
      <c r="C41" s="44">
        <f t="shared" si="6"/>
        <v>7.2936029625790691E-3</v>
      </c>
      <c r="D41" s="44">
        <f t="shared" ref="D41:D42" si="7">D37</f>
        <v>0.1101228685722975</v>
      </c>
      <c r="E41" s="46">
        <f>E37+RADIANS(C13)</f>
        <v>3.7975653871610837</v>
      </c>
      <c r="F41" s="48"/>
      <c r="K41" s="43" t="s">
        <v>61</v>
      </c>
      <c r="L41" s="44">
        <f t="shared" ref="L41:M42" si="8">$C$13+L37</f>
        <v>-9.2866680896774967E-2</v>
      </c>
      <c r="M41" s="44">
        <f t="shared" si="8"/>
        <v>5.9184675058735259E-2</v>
      </c>
      <c r="N41" s="44">
        <f t="shared" ref="N41:N42" si="9">N37</f>
        <v>0.1101228685722975</v>
      </c>
      <c r="O41" s="46">
        <f>O37+RADIANS(M13)</f>
        <v>147.49031356439497</v>
      </c>
      <c r="P41" s="48"/>
    </row>
    <row r="42" spans="1:19" ht="15" thickBot="1" x14ac:dyDescent="0.35">
      <c r="A42" s="43" t="s">
        <v>62</v>
      </c>
      <c r="B42" s="44">
        <f t="shared" si="6"/>
        <v>7.0970293186146706E-3</v>
      </c>
      <c r="C42" s="44">
        <f t="shared" si="6"/>
        <v>-8.98578979076331E-3</v>
      </c>
      <c r="D42" s="44">
        <f t="shared" si="7"/>
        <v>1.1450425464281332E-2</v>
      </c>
      <c r="E42" s="46">
        <f>E38+RADIANS(C13)</f>
        <v>-51.69811449450436</v>
      </c>
      <c r="F42" s="48"/>
      <c r="K42" s="43" t="s">
        <v>62</v>
      </c>
      <c r="L42" s="44">
        <f t="shared" si="8"/>
        <v>-1.0541265624418854E-2</v>
      </c>
      <c r="M42" s="44">
        <f t="shared" si="8"/>
        <v>-4.4714608740888838E-3</v>
      </c>
      <c r="N42" s="44">
        <f t="shared" si="9"/>
        <v>1.1450425464281331E-2</v>
      </c>
      <c r="O42" s="46">
        <f>O38+RADIANS(M13)</f>
        <v>202.98599344606043</v>
      </c>
      <c r="P42" s="48"/>
    </row>
    <row r="43" spans="1:19" ht="15" thickBot="1" x14ac:dyDescent="0.35">
      <c r="A43" s="24" t="s">
        <v>73</v>
      </c>
      <c r="B43" s="45" t="s">
        <v>55</v>
      </c>
      <c r="C43" s="45" t="s">
        <v>56</v>
      </c>
      <c r="D43" s="45" t="s">
        <v>57</v>
      </c>
      <c r="E43" s="45" t="s">
        <v>58</v>
      </c>
      <c r="F43" s="45" t="s">
        <v>59</v>
      </c>
      <c r="K43" s="24" t="s">
        <v>73</v>
      </c>
      <c r="L43" s="45" t="s">
        <v>55</v>
      </c>
      <c r="M43" s="45" t="s">
        <v>56</v>
      </c>
      <c r="N43" s="45" t="s">
        <v>57</v>
      </c>
      <c r="O43" s="45" t="s">
        <v>58</v>
      </c>
      <c r="P43" s="45" t="s">
        <v>59</v>
      </c>
    </row>
    <row r="44" spans="1:19" ht="15" thickTop="1" x14ac:dyDescent="0.3">
      <c r="A44" s="53" t="s">
        <v>60</v>
      </c>
      <c r="B44" s="53">
        <v>-0.10100000000000001</v>
      </c>
      <c r="C44" s="53">
        <f>-0.02891</f>
        <v>-2.8910000000000002E-2</v>
      </c>
      <c r="D44" s="53">
        <f>SQRT(B44^2 + C44^2)</f>
        <v>0.10505611881275646</v>
      </c>
      <c r="E44" s="55">
        <f>IF(F44&gt;=0,IF(C44&lt;0,180+F44,F44),IF(C44&gt;=0,180+F44,F44))</f>
        <v>195.97311410490028</v>
      </c>
      <c r="F44" s="53">
        <f>ATAN(C44/B44)/(PI())*180</f>
        <v>15.973114104900286</v>
      </c>
      <c r="K44" s="53" t="s">
        <v>60</v>
      </c>
      <c r="L44" s="53">
        <f>B44</f>
        <v>-0.10100000000000001</v>
      </c>
      <c r="M44" s="53">
        <f>C44</f>
        <v>-2.8910000000000002E-2</v>
      </c>
      <c r="N44" s="53">
        <f>SQRT(L44^2 + M44^2)</f>
        <v>0.10505611881275646</v>
      </c>
      <c r="O44" s="55">
        <f>IF(P44&gt;=0,IF(M44&lt;0,180+P44,P44),IF(M44&gt;=0,180+P44,P44))</f>
        <v>195.97311410490028</v>
      </c>
      <c r="P44" s="53">
        <f>ATAN(M44/L44)/(PI())*180</f>
        <v>15.973114104900286</v>
      </c>
    </row>
    <row r="45" spans="1:19" x14ac:dyDescent="0.3">
      <c r="A45" s="53" t="s">
        <v>61</v>
      </c>
      <c r="B45" s="53">
        <f>-0.0339</f>
        <v>-3.39E-2</v>
      </c>
      <c r="C45" s="53">
        <f>0.01356</f>
        <v>1.3559999999999999E-2</v>
      </c>
      <c r="D45" s="53">
        <f t="shared" ref="D45:D46" si="10">SQRT(B45^2 + C45^2)</f>
        <v>3.6511417392371938E-2</v>
      </c>
      <c r="E45" s="56">
        <f t="shared" ref="E45:E46" si="11">IF(F45&gt;=0,IF(C45&lt;0,180+F45,F45),IF(C45&gt;=0,180+F45,F45))</f>
        <v>158.19859051364818</v>
      </c>
      <c r="F45" s="53">
        <f>ATAN(C45/B45)/(PI())*180</f>
        <v>-21.801409486351812</v>
      </c>
      <c r="K45" s="53" t="s">
        <v>61</v>
      </c>
      <c r="L45" s="53">
        <f t="shared" ref="L45:M46" si="12">B45</f>
        <v>-3.39E-2</v>
      </c>
      <c r="M45" s="53">
        <f t="shared" si="12"/>
        <v>1.3559999999999999E-2</v>
      </c>
      <c r="N45" s="53">
        <f t="shared" ref="N45:N46" si="13">SQRT(L45^2 + M45^2)</f>
        <v>3.6511417392371938E-2</v>
      </c>
      <c r="O45" s="56">
        <f t="shared" ref="O45:O46" si="14">IF(P45&gt;=0,IF(M45&lt;0,180+P45,P45),IF(M45&gt;=0,180+P45,P45))</f>
        <v>158.19859051364818</v>
      </c>
      <c r="P45" s="53">
        <f>ATAN(M45/L45)/(PI())*180</f>
        <v>-21.801409486351812</v>
      </c>
    </row>
    <row r="46" spans="1:19" x14ac:dyDescent="0.3">
      <c r="A46" s="53" t="s">
        <v>62</v>
      </c>
      <c r="B46" s="53">
        <f>-0.03503</f>
        <v>-3.5029999999999999E-2</v>
      </c>
      <c r="C46" s="53">
        <f>0.0157</f>
        <v>1.5699999999999999E-2</v>
      </c>
      <c r="D46" s="53">
        <f t="shared" si="10"/>
        <v>3.8387379436476257E-2</v>
      </c>
      <c r="E46" s="56">
        <f t="shared" si="11"/>
        <v>155.85868488134236</v>
      </c>
      <c r="F46" s="53">
        <f t="shared" ref="F46" si="15">ATAN(C46/B46)/(PI())*180</f>
        <v>-24.141315118657658</v>
      </c>
      <c r="K46" s="53" t="s">
        <v>62</v>
      </c>
      <c r="L46" s="53">
        <f t="shared" si="12"/>
        <v>-3.5029999999999999E-2</v>
      </c>
      <c r="M46" s="53">
        <f t="shared" si="12"/>
        <v>1.5699999999999999E-2</v>
      </c>
      <c r="N46" s="53">
        <f t="shared" si="13"/>
        <v>3.8387379436476257E-2</v>
      </c>
      <c r="O46" s="56">
        <f t="shared" si="14"/>
        <v>155.85868488134236</v>
      </c>
      <c r="P46" s="53">
        <f t="shared" ref="P46" si="16">ATAN(M46/L46)/(PI())*180</f>
        <v>-24.141315118657658</v>
      </c>
    </row>
    <row r="47" spans="1:19" ht="15" thickBot="1" x14ac:dyDescent="0.35"/>
    <row r="48" spans="1:19" ht="15" thickBot="1" x14ac:dyDescent="0.35">
      <c r="A48" s="24" t="s">
        <v>64</v>
      </c>
      <c r="H48" s="1" t="s">
        <v>4</v>
      </c>
      <c r="I48" s="2">
        <f>C7*SIN(B16)</f>
        <v>-18.860661801530622</v>
      </c>
      <c r="K48" s="24" t="s">
        <v>64</v>
      </c>
      <c r="R48" s="1" t="s">
        <v>4</v>
      </c>
      <c r="S48" s="2">
        <f>C7*SIN(C16)</f>
        <v>28.013868476039065</v>
      </c>
    </row>
    <row r="49" spans="1:19" ht="15" thickTop="1" x14ac:dyDescent="0.3">
      <c r="A49" s="43" t="s">
        <v>65</v>
      </c>
      <c r="B49" s="44">
        <f>(I50*I51-I48*I53)/(I48*I52-I49*I51)</f>
        <v>2.5475577681597652E-5</v>
      </c>
      <c r="H49" s="8" t="s">
        <v>9</v>
      </c>
      <c r="I49" s="9">
        <f>C6*SIN(B18)</f>
        <v>-25.404097057973406</v>
      </c>
      <c r="K49" s="43" t="s">
        <v>65</v>
      </c>
      <c r="L49" s="44">
        <f>(S50*S51-S48*S53)/(S48*S52-S49*S51)</f>
        <v>6.5617948444302024E-5</v>
      </c>
      <c r="R49" s="8" t="s">
        <v>9</v>
      </c>
      <c r="S49" s="9">
        <f>C6*SIN(C18)</f>
        <v>21.470433219596273</v>
      </c>
    </row>
    <row r="50" spans="1:19" ht="15" thickBot="1" x14ac:dyDescent="0.35">
      <c r="A50" s="43" t="s">
        <v>66</v>
      </c>
      <c r="B50" s="44">
        <f>(I50*I52-I49*I53)/(I48*I52-I49*I51)</f>
        <v>4.6020213443887852E-5</v>
      </c>
      <c r="H50" s="8" t="s">
        <v>14</v>
      </c>
      <c r="I50" s="9">
        <f>(C5*C12*SIN(C10))+(C5*C11^2*COS(C10))+(C6*B33^2*COS(B18))-(C7*B34^2*COS(B16))</f>
        <v>-2.2078763376817359E-4</v>
      </c>
      <c r="K50" s="43" t="s">
        <v>66</v>
      </c>
      <c r="L50" s="44">
        <f>(S50*S52-S49*S53)/(S48*S52-S49*S51)</f>
        <v>4.5073312682011814E-5</v>
      </c>
      <c r="R50" s="8" t="s">
        <v>14</v>
      </c>
      <c r="S50" s="9">
        <f>(C5*C12*SIN(C10))+(C5*C11^2*COS(C10))+(C6*L33^2*COS(C18))-(C7*L34^2*COS(C16))</f>
        <v>-1.4616792682703526E-4</v>
      </c>
    </row>
    <row r="51" spans="1:19" ht="15" thickBot="1" x14ac:dyDescent="0.35">
      <c r="A51" s="24" t="s">
        <v>67</v>
      </c>
      <c r="B51" s="45" t="s">
        <v>55</v>
      </c>
      <c r="C51" s="45" t="s">
        <v>56</v>
      </c>
      <c r="D51" s="45" t="s">
        <v>57</v>
      </c>
      <c r="E51" s="45" t="s">
        <v>58</v>
      </c>
      <c r="F51" s="45" t="s">
        <v>59</v>
      </c>
      <c r="H51" s="8" t="s">
        <v>19</v>
      </c>
      <c r="I51" s="9">
        <f>C7*COS(B16)</f>
        <v>-23.880124296332372</v>
      </c>
      <c r="K51" s="24" t="s">
        <v>67</v>
      </c>
      <c r="L51" s="45" t="s">
        <v>55</v>
      </c>
      <c r="M51" s="45" t="s">
        <v>56</v>
      </c>
      <c r="N51" s="45" t="s">
        <v>57</v>
      </c>
      <c r="O51" s="45" t="s">
        <v>58</v>
      </c>
      <c r="P51" s="45" t="s">
        <v>59</v>
      </c>
      <c r="R51" s="8" t="s">
        <v>19</v>
      </c>
      <c r="S51" s="9">
        <f>C7*COS(C16)</f>
        <v>-11.883100311248107</v>
      </c>
    </row>
    <row r="52" spans="1:19" ht="15" thickTop="1" x14ac:dyDescent="0.3">
      <c r="A52" s="43" t="s">
        <v>68</v>
      </c>
      <c r="B52" s="44">
        <f>-C5*C12*SIN(C10)-C5*C11^2*COS(C10)</f>
        <v>2.55716103394017E-4</v>
      </c>
      <c r="C52" s="44">
        <f>C5*C12*COS(C10)-C5*C11^2*SIN(C10)</f>
        <v>-1.6145279351307753E-3</v>
      </c>
      <c r="D52" s="44">
        <f>SQRT(B52^2 + C52^2)</f>
        <v>1.634653228930425E-3</v>
      </c>
      <c r="E52" s="46">
        <f>IF(F52&gt;=0,IF(C52&lt;0,180+F52,F52),IF(C52&gt;=0,180+F52,F52))</f>
        <v>-81</v>
      </c>
      <c r="F52" s="44">
        <f>ATAN(C52/B52)/(PI())*180</f>
        <v>-81</v>
      </c>
      <c r="H52" s="8" t="s">
        <v>24</v>
      </c>
      <c r="I52" s="9">
        <f>C6*COS(B18)</f>
        <v>1.6862540345591503</v>
      </c>
      <c r="K52" s="43" t="s">
        <v>68</v>
      </c>
      <c r="L52" s="44">
        <f>-C5*C12*SIN(C10)-C5*C11^2*COS(C10)</f>
        <v>2.55716103394017E-4</v>
      </c>
      <c r="M52" s="44">
        <f>C5*C12*COS(C10)-C5*C11^2*SIN(C10)</f>
        <v>-1.6145279351307753E-3</v>
      </c>
      <c r="N52" s="44">
        <f>SQRT(L52^2 + M52^2)</f>
        <v>1.634653228930425E-3</v>
      </c>
      <c r="O52" s="46">
        <f>IF(P52&gt;=0,IF(M52&lt;0,180+P52,P52),IF(M52&gt;=0,180+P52,P52))</f>
        <v>-81</v>
      </c>
      <c r="P52" s="44">
        <f>ATAN(M52/L52)/(PI())*180</f>
        <v>-81</v>
      </c>
      <c r="R52" s="8" t="s">
        <v>24</v>
      </c>
      <c r="S52" s="9">
        <f>C6*COS(C18)</f>
        <v>13.683278019643421</v>
      </c>
    </row>
    <row r="53" spans="1:19" ht="15" thickBot="1" x14ac:dyDescent="0.35">
      <c r="A53" s="43" t="s">
        <v>69</v>
      </c>
      <c r="B53" s="44">
        <f>-C6*B49*SIN(B18)-C6*B33^2*COS(B18)</f>
        <v>6.1563681784795573E-4</v>
      </c>
      <c r="C53" s="44">
        <f>C6*B49*COS(B18)-C6*B33^2*COS(B18)</f>
        <v>1.1411065465026964E-5</v>
      </c>
      <c r="D53" s="44">
        <f t="shared" ref="D53:D54" si="17">SQRT(B53^2 + C53^2)</f>
        <v>6.1574256301233886E-4</v>
      </c>
      <c r="E53" s="46">
        <f t="shared" ref="E53:E54" si="18">IF(F53&gt;=0,IF(C53&lt;0,180+F53,F53),IF(C53&gt;=0,180+F53,F53))</f>
        <v>1.0618777392974861</v>
      </c>
      <c r="F53" s="44">
        <f>ATAN(C53/B53)/(PI())*180</f>
        <v>1.0618777392974861</v>
      </c>
      <c r="H53" s="16" t="s">
        <v>29</v>
      </c>
      <c r="I53" s="17">
        <f>(C5*C12*COS(C10))-(C5*C11^2*SIN(C10))-(C6*B33^2*SIN(B18))+(C7*B34^2*SIN(B16))</f>
        <v>-1.1419267128321071E-3</v>
      </c>
      <c r="K53" s="43" t="s">
        <v>69</v>
      </c>
      <c r="L53" s="44">
        <f>-C6*L49*SIN(C18)-C6*L33^2*COS(C18)</f>
        <v>-1.4285083705740625E-3</v>
      </c>
      <c r="M53" s="44">
        <f>C6*L49*COS(C18)-C6*L33^2*SIN(C18)</f>
        <v>8.67016058485596E-4</v>
      </c>
      <c r="N53" s="44">
        <f t="shared" ref="N53:N54" si="19">SQRT(L53^2 + M53^2)</f>
        <v>1.6710335156639026E-3</v>
      </c>
      <c r="O53" s="46">
        <f t="shared" ref="O53:O54" si="20">IF(P53&gt;=0,IF(M53&lt;0,180+P53,P53),IF(M53&gt;=0,180+P53,P53))</f>
        <v>148.74484386895978</v>
      </c>
      <c r="P53" s="44">
        <f>ATAN(M53/L53)/(PI())*180</f>
        <v>-31.255156131040216</v>
      </c>
      <c r="R53" s="16" t="s">
        <v>29</v>
      </c>
      <c r="S53" s="17">
        <f>(C5*C12*COS(C10))-(C5*C11^2*SIN(C10))-(C6*L33^2*SIN(C18))+(C7*L34^2*SIN(C16))</f>
        <v>-1.4334793276026109E-3</v>
      </c>
    </row>
    <row r="54" spans="1:19" ht="15" thickBot="1" x14ac:dyDescent="0.35">
      <c r="A54" s="43" t="s">
        <v>70</v>
      </c>
      <c r="B54" s="44">
        <f>-C7*B50*SIN(B16)-C7*B34^2*COS(B16)</f>
        <v>8.7135292124197283E-4</v>
      </c>
      <c r="C54" s="44">
        <f>C7*B50*SIN(B16)-C7*B34^2*COS(B16)</f>
        <v>-8.6459044235687025E-4</v>
      </c>
      <c r="D54" s="44">
        <f t="shared" si="17"/>
        <v>1.2275066380153584E-3</v>
      </c>
      <c r="E54" s="46">
        <f t="shared" si="18"/>
        <v>-44.776801739422218</v>
      </c>
      <c r="F54" s="44">
        <f t="shared" ref="F54" si="21">ATAN(C54/B54)/(PI())*180</f>
        <v>-44.776801739422218</v>
      </c>
      <c r="K54" s="43" t="s">
        <v>70</v>
      </c>
      <c r="L54" s="44">
        <f>-C7*L50*SIN(C16)-C7*L34^2*COS(C16)</f>
        <v>-1.1727922671800454E-3</v>
      </c>
      <c r="M54" s="44">
        <f>C7*L50*COS(C16)-C7*L34^2*SIN(C16)</f>
        <v>-7.4751187664517937E-4</v>
      </c>
      <c r="N54" s="44">
        <f t="shared" si="19"/>
        <v>1.3907608377010437E-3</v>
      </c>
      <c r="O54" s="46">
        <f t="shared" si="20"/>
        <v>212.51253623866128</v>
      </c>
      <c r="P54" s="44">
        <f t="shared" ref="P54" si="22">ATAN(M54/L54)/(PI())*180</f>
        <v>32.512536238661284</v>
      </c>
    </row>
    <row r="55" spans="1:19" ht="15" thickBot="1" x14ac:dyDescent="0.35">
      <c r="A55" s="24" t="s">
        <v>74</v>
      </c>
      <c r="B55" s="45" t="s">
        <v>55</v>
      </c>
      <c r="C55" s="45" t="s">
        <v>56</v>
      </c>
      <c r="D55" s="45" t="s">
        <v>57</v>
      </c>
      <c r="E55" s="45" t="s">
        <v>58</v>
      </c>
      <c r="F55" s="45" t="s">
        <v>59</v>
      </c>
      <c r="K55" s="24" t="s">
        <v>74</v>
      </c>
      <c r="L55" s="45" t="s">
        <v>55</v>
      </c>
      <c r="M55" s="45" t="s">
        <v>56</v>
      </c>
      <c r="N55" s="45" t="s">
        <v>57</v>
      </c>
      <c r="O55" s="45" t="s">
        <v>58</v>
      </c>
      <c r="P55" s="45" t="s">
        <v>59</v>
      </c>
    </row>
    <row r="56" spans="1:19" ht="15" thickTop="1" x14ac:dyDescent="0.3">
      <c r="A56" s="58" t="s">
        <v>68</v>
      </c>
      <c r="B56" s="53">
        <f>0.00003263</f>
        <v>3.2629999999999998E-5</v>
      </c>
      <c r="C56" s="53">
        <f>-0.001175</f>
        <v>-1.175E-3</v>
      </c>
      <c r="D56" s="53">
        <f>SQRT(B56^2 + C56^2)</f>
        <v>1.1754529837045803E-3</v>
      </c>
      <c r="E56" s="55">
        <f>IF(F56&gt;=0,IF(C56&lt;0,180+F56,F56),IF(C56&gt;=0,180+F56,F56))</f>
        <v>-88.409292837956528</v>
      </c>
      <c r="F56" s="53">
        <f>ATAN(C56/B56)/(PI())*180</f>
        <v>-88.409292837956528</v>
      </c>
      <c r="K56" s="58" t="s">
        <v>68</v>
      </c>
      <c r="L56" s="53">
        <f>B56</f>
        <v>3.2629999999999998E-5</v>
      </c>
      <c r="M56" s="53">
        <f>C56</f>
        <v>-1.175E-3</v>
      </c>
      <c r="N56" s="53">
        <f>SQRT(L56^2 + M56^2)</f>
        <v>1.1754529837045803E-3</v>
      </c>
      <c r="O56" s="55">
        <f>IF(P56&gt;=0,IF(M56&lt;0,180+P56,P56),IF(M56&gt;=0,180+P56,P56))</f>
        <v>-88.409292837956528</v>
      </c>
      <c r="P56" s="53">
        <f>ATAN(M56/L56)/(PI())*180</f>
        <v>-88.409292837956528</v>
      </c>
    </row>
    <row r="57" spans="1:19" x14ac:dyDescent="0.3">
      <c r="A57" s="58" t="s">
        <v>69</v>
      </c>
      <c r="B57" s="53">
        <f>-0.001842</f>
        <v>-1.8420000000000001E-3</v>
      </c>
      <c r="C57" s="53">
        <f>-0.0008919</f>
        <v>-8.9190000000000005E-4</v>
      </c>
      <c r="D57" s="53">
        <f t="shared" ref="D57:D58" si="23">SQRT(B57^2 + C57^2)</f>
        <v>2.0465702064673963E-3</v>
      </c>
      <c r="E57" s="56">
        <f t="shared" ref="E57:E58" si="24">IF(F57&gt;=0,IF(C57&lt;0,180+F57,F57),IF(C57&gt;=0,180+F57,F57))</f>
        <v>205.83635636869332</v>
      </c>
      <c r="F57" s="53">
        <f>ATAN(C57/B57)/(PI())*180</f>
        <v>25.836356368693302</v>
      </c>
      <c r="K57" s="58" t="s">
        <v>69</v>
      </c>
      <c r="L57" s="53">
        <f t="shared" ref="L57:M58" si="25">B57</f>
        <v>-1.8420000000000001E-3</v>
      </c>
      <c r="M57" s="53">
        <f t="shared" si="25"/>
        <v>-8.9190000000000005E-4</v>
      </c>
      <c r="N57" s="53">
        <f t="shared" ref="N57:N58" si="26">SQRT(L57^2 + M57^2)</f>
        <v>2.0465702064673963E-3</v>
      </c>
      <c r="O57" s="56">
        <f t="shared" ref="O57:O58" si="27">IF(P57&gt;=0,IF(M57&lt;0,180+P57,P57),IF(M57&gt;=0,180+P57,P57))</f>
        <v>205.83635636869332</v>
      </c>
      <c r="P57" s="53">
        <f>ATAN(M57/L57)/(PI())*180</f>
        <v>25.836356368693302</v>
      </c>
    </row>
    <row r="58" spans="1:19" x14ac:dyDescent="0.3">
      <c r="A58" s="58" t="s">
        <v>70</v>
      </c>
      <c r="B58" s="53">
        <f>0.001675</f>
        <v>1.6750000000000001E-3</v>
      </c>
      <c r="C58" s="53">
        <f>-0.0009499</f>
        <v>-9.4990000000000005E-4</v>
      </c>
      <c r="D58" s="53">
        <f t="shared" si="23"/>
        <v>1.9255999091192335E-3</v>
      </c>
      <c r="E58" s="56">
        <f t="shared" si="24"/>
        <v>-29.557766286305185</v>
      </c>
      <c r="F58" s="53">
        <f t="shared" ref="F58" si="28">ATAN(C58/B58)/(PI())*180</f>
        <v>-29.557766286305185</v>
      </c>
      <c r="K58" s="58" t="s">
        <v>70</v>
      </c>
      <c r="L58" s="53">
        <f t="shared" si="25"/>
        <v>1.6750000000000001E-3</v>
      </c>
      <c r="M58" s="53">
        <f t="shared" si="25"/>
        <v>-9.4990000000000005E-4</v>
      </c>
      <c r="N58" s="53">
        <f t="shared" si="26"/>
        <v>1.9255999091192335E-3</v>
      </c>
      <c r="O58" s="56">
        <f t="shared" si="27"/>
        <v>-29.557766286305185</v>
      </c>
      <c r="P58" s="53">
        <f t="shared" ref="P58" si="29">ATAN(M58/L58)/(PI())*180</f>
        <v>-29.557766286305185</v>
      </c>
    </row>
  </sheetData>
  <mergeCells count="11">
    <mergeCell ref="A1:H2"/>
    <mergeCell ref="J1:K1"/>
    <mergeCell ref="J2:K2"/>
    <mergeCell ref="A4:C4"/>
    <mergeCell ref="E4:F4"/>
    <mergeCell ref="K4:L4"/>
    <mergeCell ref="A22:A23"/>
    <mergeCell ref="B22:B23"/>
    <mergeCell ref="A29:A30"/>
    <mergeCell ref="A9:A10"/>
    <mergeCell ref="A13:B1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PRUEBA 1</vt:lpstr>
      <vt:lpstr>PRUEBA 2</vt:lpstr>
      <vt:lpstr>PRUEBA 3</vt:lpstr>
      <vt:lpstr>PRUEBA 4</vt:lpstr>
      <vt:lpstr>PRUEBA 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VASQUEZ MARROQUIN, SERGIO ALEJANDRO</dc:creator>
  <cp:lastModifiedBy>VASQUEZ MARROQUIN, SERGIO ALEJANDRO</cp:lastModifiedBy>
  <dcterms:created xsi:type="dcterms:W3CDTF">2023-11-17T05:04:50Z</dcterms:created>
  <dcterms:modified xsi:type="dcterms:W3CDTF">2023-11-19T22:22:46Z</dcterms:modified>
</cp:coreProperties>
</file>