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Hoja1" sheetId="1" r:id="rId1"/>
  </sheets>
  <calcPr calcId="171027"/>
</workbook>
</file>

<file path=xl/calcChain.xml><?xml version="1.0" encoding="utf-8"?>
<calcChain xmlns="http://schemas.openxmlformats.org/spreadsheetml/2006/main">
  <c r="H38" i="1" l="1"/>
  <c r="H39" i="1"/>
  <c r="H40" i="1"/>
  <c r="H41" i="1"/>
  <c r="H42" i="1"/>
  <c r="H37" i="1"/>
  <c r="G38" i="1"/>
  <c r="G39" i="1"/>
  <c r="G40" i="1"/>
  <c r="G41" i="1"/>
  <c r="G42" i="1"/>
  <c r="G37" i="1"/>
  <c r="H36" i="1"/>
  <c r="G36" i="1"/>
  <c r="H25" i="1" l="1"/>
  <c r="H21" i="1"/>
  <c r="H22" i="1"/>
  <c r="H23" i="1"/>
  <c r="H24" i="1"/>
  <c r="H26" i="1"/>
  <c r="H27" i="1"/>
  <c r="H28" i="1"/>
  <c r="H29" i="1"/>
  <c r="H30" i="1"/>
  <c r="H31" i="1"/>
  <c r="H32" i="1"/>
  <c r="H20" i="1"/>
  <c r="G20" i="1"/>
  <c r="H19" i="1"/>
  <c r="G32" i="1"/>
  <c r="G31" i="1"/>
  <c r="G30" i="1"/>
  <c r="G29" i="1"/>
  <c r="G28" i="1"/>
  <c r="G27" i="1"/>
  <c r="G26" i="1"/>
  <c r="G25" i="1"/>
  <c r="G24" i="1"/>
  <c r="G23" i="1"/>
  <c r="G22" i="1"/>
  <c r="G21" i="1"/>
  <c r="G19" i="1"/>
  <c r="H4" i="1"/>
  <c r="H5" i="1"/>
  <c r="H6" i="1"/>
  <c r="H7" i="1"/>
  <c r="H8" i="1"/>
  <c r="H9" i="1"/>
  <c r="H10" i="1"/>
  <c r="H11" i="1"/>
  <c r="H12" i="1"/>
  <c r="H13" i="1"/>
  <c r="H14" i="1"/>
  <c r="H15" i="1"/>
  <c r="H3" i="1"/>
  <c r="G3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C36" i="1" l="1"/>
  <c r="C37" i="1"/>
  <c r="C38" i="1"/>
  <c r="C39" i="1"/>
  <c r="C42" i="1"/>
  <c r="C41" i="1"/>
  <c r="C40" i="1"/>
  <c r="B37" i="1"/>
  <c r="D37" i="1" s="1"/>
  <c r="B36" i="1"/>
  <c r="D36" i="1" s="1"/>
  <c r="B38" i="1"/>
  <c r="D38" i="1" s="1"/>
  <c r="B42" i="1"/>
  <c r="D42" i="1" s="1"/>
  <c r="B39" i="1"/>
  <c r="D39" i="1" s="1"/>
  <c r="B40" i="1"/>
  <c r="D40" i="1" s="1"/>
  <c r="B41" i="1"/>
  <c r="D41" i="1" s="1"/>
  <c r="A37" i="1"/>
  <c r="A38" i="1" s="1"/>
  <c r="A39" i="1" s="1"/>
  <c r="A40" i="1" s="1"/>
  <c r="A41" i="1" s="1"/>
  <c r="A42" i="1" s="1"/>
  <c r="D20" i="1"/>
  <c r="D23" i="1"/>
  <c r="D27" i="1"/>
  <c r="D31" i="1"/>
  <c r="C20" i="1"/>
  <c r="C19" i="1"/>
  <c r="D19" i="1" s="1"/>
  <c r="C21" i="1"/>
  <c r="D21" i="1" s="1"/>
  <c r="C22" i="1"/>
  <c r="D22" i="1" s="1"/>
  <c r="C23" i="1"/>
  <c r="C24" i="1"/>
  <c r="C25" i="1"/>
  <c r="D25" i="1" s="1"/>
  <c r="C26" i="1"/>
  <c r="D26" i="1" s="1"/>
  <c r="C27" i="1"/>
  <c r="C28" i="1"/>
  <c r="C29" i="1"/>
  <c r="D29" i="1" s="1"/>
  <c r="C30" i="1"/>
  <c r="D30" i="1" s="1"/>
  <c r="C31" i="1"/>
  <c r="C32" i="1"/>
  <c r="B32" i="1"/>
  <c r="D32" i="1" s="1"/>
  <c r="B31" i="1"/>
  <c r="B30" i="1"/>
  <c r="B29" i="1"/>
  <c r="B28" i="1"/>
  <c r="D28" i="1" s="1"/>
  <c r="B27" i="1"/>
  <c r="B26" i="1"/>
  <c r="B25" i="1"/>
  <c r="B24" i="1"/>
  <c r="D24" i="1" s="1"/>
  <c r="B23" i="1"/>
  <c r="B22" i="1"/>
  <c r="B21" i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B20" i="1"/>
  <c r="A20" i="1"/>
  <c r="B19" i="1"/>
  <c r="D7" i="1"/>
  <c r="D11" i="1"/>
  <c r="D15" i="1"/>
  <c r="C2" i="1"/>
  <c r="C3" i="1"/>
  <c r="C4" i="1"/>
  <c r="C5" i="1"/>
  <c r="C6" i="1"/>
  <c r="C7" i="1"/>
  <c r="C8" i="1"/>
  <c r="C9" i="1"/>
  <c r="C10" i="1"/>
  <c r="C11" i="1"/>
  <c r="C12" i="1"/>
  <c r="C13" i="1"/>
  <c r="C15" i="1"/>
  <c r="C14" i="1"/>
  <c r="B3" i="1"/>
  <c r="D3" i="1" s="1"/>
  <c r="B2" i="1"/>
  <c r="D2" i="1" s="1"/>
  <c r="B4" i="1"/>
  <c r="D4" i="1" s="1"/>
  <c r="B5" i="1"/>
  <c r="D5" i="1" s="1"/>
  <c r="B6" i="1"/>
  <c r="D6" i="1" s="1"/>
  <c r="B7" i="1"/>
  <c r="B8" i="1"/>
  <c r="D8" i="1" s="1"/>
  <c r="B9" i="1"/>
  <c r="D9" i="1" s="1"/>
  <c r="B10" i="1"/>
  <c r="D10" i="1" s="1"/>
  <c r="B11" i="1"/>
  <c r="B12" i="1"/>
  <c r="D12" i="1" s="1"/>
  <c r="B13" i="1"/>
  <c r="D13" i="1" s="1"/>
  <c r="B14" i="1"/>
  <c r="D14" i="1" s="1"/>
  <c r="B1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<sst xmlns="http://schemas.openxmlformats.org/spreadsheetml/2006/main" count="22" uniqueCount="18">
  <si>
    <t>loop2</t>
  </si>
  <si>
    <t>loop3</t>
  </si>
  <si>
    <t>loop2/loop3</t>
  </si>
  <si>
    <t>loop1</t>
  </si>
  <si>
    <t>loop1/loop2</t>
  </si>
  <si>
    <t>loop4</t>
  </si>
  <si>
    <t>loop5</t>
  </si>
  <si>
    <t>loop4/loop5</t>
  </si>
  <si>
    <t>O(n^2) FROM LOOP 2</t>
  </si>
  <si>
    <t>O(n^2) FROM LOOP 3</t>
  </si>
  <si>
    <t xml:space="preserve"> Theoretical Complexities</t>
  </si>
  <si>
    <t>O(nlogn) FROM LOOP 1</t>
  </si>
  <si>
    <t>loop 1 has a better complexity than loop 3 because values are smaller than 1</t>
  </si>
  <si>
    <t>loop 3 has a better complexity than loop 2 because values are greater than 1</t>
  </si>
  <si>
    <t>O(n^4) FROM LOOP4</t>
  </si>
  <si>
    <t>O(nlogn) FROM LOOP 5</t>
  </si>
  <si>
    <t>UNKNOWN METHOD:</t>
  </si>
  <si>
    <t>The complexity of this method is O(n^3) as there is 3 nested for loops and are 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</si>
</sst>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loop2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Hoja1!$A$2:$A$15</c:f>
              <c:numCache>
                <c:formatCode>General</c:formatCode>
                <c:ptCount val="1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</c:numCache>
            </c:numRef>
          </c:xVal>
          <c:yVal>
            <c:numRef>
              <c:f>Hoja1!$B$2:$B$15</c:f>
              <c:numCache>
                <c:formatCode>General</c:formatCode>
                <c:ptCount val="14"/>
                <c:pt idx="0">
                  <c:v>7.8000000000000005E-7</c:v>
                </c:pt>
                <c:pt idx="1">
                  <c:v>3.1200000000000002E-6</c:v>
                </c:pt>
                <c:pt idx="2">
                  <c:v>1.2499999999999999E-5</c:v>
                </c:pt>
                <c:pt idx="3">
                  <c:v>6.3E-5</c:v>
                </c:pt>
                <c:pt idx="4">
                  <c:v>1.8699999999999999E-4</c:v>
                </c:pt>
                <c:pt idx="5">
                  <c:v>7.8000000000000009E-4</c:v>
                </c:pt>
                <c:pt idx="6">
                  <c:v>2.9700000000000004E-3</c:v>
                </c:pt>
                <c:pt idx="7">
                  <c:v>1.2500000000000001E-2</c:v>
                </c:pt>
                <c:pt idx="8">
                  <c:v>4.8000000000000001E-2</c:v>
                </c:pt>
                <c:pt idx="9">
                  <c:v>0.20300000000000001</c:v>
                </c:pt>
                <c:pt idx="10">
                  <c:v>0.81100000000000005</c:v>
                </c:pt>
                <c:pt idx="11">
                  <c:v>3.1990000000000003</c:v>
                </c:pt>
                <c:pt idx="12">
                  <c:v>12.73</c:v>
                </c:pt>
                <c:pt idx="13">
                  <c:v>50.981999999999999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2F-4F3D-8112-C844F7236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301616"/>
        <c:axId val="234307776"/>
      </c:scatterChart>
      <c:valAx>
        <c:axId val="2343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07776"/>
        <c:crosses val="autoZero"/>
        <c:crossBetween val="midCat"/>
      </c:valAx>
      <c:valAx>
        <c:axId val="23430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5782407407407409"/>
          <c:w val="0.87119685039370076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loop3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Hoja1!$A$2:$A$15</c:f>
              <c:numCache>
                <c:formatCode>General</c:formatCode>
                <c:ptCount val="1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</c:numCache>
            </c:numRef>
          </c:xVal>
          <c:yVal>
            <c:numRef>
              <c:f>Hoja1!$C$2:$C$15</c:f>
              <c:numCache>
                <c:formatCode>General</c:formatCode>
                <c:ptCount val="14"/>
                <c:pt idx="0">
                  <c:v>4.5999999999999999E-7</c:v>
                </c:pt>
                <c:pt idx="1">
                  <c:v>1.72E-6</c:v>
                </c:pt>
                <c:pt idx="2">
                  <c:v>6.1999999999999999E-6</c:v>
                </c:pt>
                <c:pt idx="3">
                  <c:v>2.4999999999999998E-5</c:v>
                </c:pt>
                <c:pt idx="4">
                  <c:v>9.3999999999999994E-5</c:v>
                </c:pt>
                <c:pt idx="5">
                  <c:v>3.8999999999999999E-4</c:v>
                </c:pt>
                <c:pt idx="6">
                  <c:v>1.5600000000000002E-3</c:v>
                </c:pt>
                <c:pt idx="7">
                  <c:v>6.2000000000000006E-3</c:v>
                </c:pt>
                <c:pt idx="8">
                  <c:v>2.5000000000000001E-2</c:v>
                </c:pt>
                <c:pt idx="9">
                  <c:v>9.2999999999999999E-2</c:v>
                </c:pt>
                <c:pt idx="10">
                  <c:v>0.40600000000000003</c:v>
                </c:pt>
                <c:pt idx="11">
                  <c:v>1.6220000000000001</c:v>
                </c:pt>
                <c:pt idx="12">
                  <c:v>6.383</c:v>
                </c:pt>
                <c:pt idx="13">
                  <c:v>25.523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34-4AF1-A5AF-C8C2BC51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779536"/>
        <c:axId val="236778976"/>
      </c:scatterChart>
      <c:valAx>
        <c:axId val="23677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78976"/>
        <c:crosses val="autoZero"/>
        <c:crossBetween val="midCat"/>
      </c:valAx>
      <c:valAx>
        <c:axId val="23677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7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Hoja1!$B$18</c:f>
              <c:strCache>
                <c:ptCount val="1"/>
                <c:pt idx="0">
                  <c:v>loop2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Hoja1!$A$19:$A$32</c:f>
              <c:numCache>
                <c:formatCode>General</c:formatCode>
                <c:ptCount val="1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</c:numCache>
            </c:numRef>
          </c:xVal>
          <c:yVal>
            <c:numRef>
              <c:f>Hoja1!$B$19:$B$32</c:f>
              <c:numCache>
                <c:formatCode>General</c:formatCode>
                <c:ptCount val="14"/>
                <c:pt idx="0">
                  <c:v>7.8000000000000005E-7</c:v>
                </c:pt>
                <c:pt idx="1">
                  <c:v>3.1200000000000002E-6</c:v>
                </c:pt>
                <c:pt idx="2">
                  <c:v>1.2499999999999999E-5</c:v>
                </c:pt>
                <c:pt idx="3">
                  <c:v>6.3E-5</c:v>
                </c:pt>
                <c:pt idx="4">
                  <c:v>1.8699999999999999E-4</c:v>
                </c:pt>
                <c:pt idx="5">
                  <c:v>7.8000000000000009E-4</c:v>
                </c:pt>
                <c:pt idx="6">
                  <c:v>2.9700000000000004E-3</c:v>
                </c:pt>
                <c:pt idx="7">
                  <c:v>1.2500000000000001E-2</c:v>
                </c:pt>
                <c:pt idx="8">
                  <c:v>4.8000000000000001E-2</c:v>
                </c:pt>
                <c:pt idx="9">
                  <c:v>0.20300000000000001</c:v>
                </c:pt>
                <c:pt idx="10">
                  <c:v>0.81100000000000005</c:v>
                </c:pt>
                <c:pt idx="11">
                  <c:v>3.1990000000000003</c:v>
                </c:pt>
                <c:pt idx="12">
                  <c:v>12.73</c:v>
                </c:pt>
                <c:pt idx="13">
                  <c:v>50.981999999999999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2C-4349-A037-D8F4D81C2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34608"/>
        <c:axId val="168137408"/>
      </c:scatterChart>
      <c:valAx>
        <c:axId val="16813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37408"/>
        <c:crosses val="autoZero"/>
        <c:crossBetween val="midCat"/>
      </c:valAx>
      <c:valAx>
        <c:axId val="16813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3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38454268558892E-2"/>
          <c:y val="0.19721055701370663"/>
          <c:w val="0.84216774273078876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Hoja1!$C$18</c:f>
              <c:strCache>
                <c:ptCount val="1"/>
                <c:pt idx="0">
                  <c:v>loop1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Hoja1!$A$19:$A$32</c:f>
              <c:numCache>
                <c:formatCode>General</c:formatCode>
                <c:ptCount val="1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</c:numCache>
            </c:numRef>
          </c:xVal>
          <c:yVal>
            <c:numRef>
              <c:f>Hoja1!$C$19:$C$32</c:f>
              <c:numCache>
                <c:formatCode>General</c:formatCode>
                <c:ptCount val="14"/>
                <c:pt idx="0">
                  <c:v>4.7E-7</c:v>
                </c:pt>
                <c:pt idx="1">
                  <c:v>9.2999999999999999E-7</c:v>
                </c:pt>
                <c:pt idx="2">
                  <c:v>2.34E-6</c:v>
                </c:pt>
                <c:pt idx="3">
                  <c:v>5.31E-6</c:v>
                </c:pt>
                <c:pt idx="4">
                  <c:v>1.2330000000000001E-5</c:v>
                </c:pt>
                <c:pt idx="5">
                  <c:v>2.7310000000000001E-5</c:v>
                </c:pt>
                <c:pt idx="6">
                  <c:v>6.2000000000000003E-5</c:v>
                </c:pt>
                <c:pt idx="7">
                  <c:v>1.25E-4</c:v>
                </c:pt>
                <c:pt idx="8">
                  <c:v>2.9599999999999998E-4</c:v>
                </c:pt>
                <c:pt idx="9">
                  <c:v>6.2399999999999999E-4</c:v>
                </c:pt>
                <c:pt idx="10">
                  <c:v>1.374E-3</c:v>
                </c:pt>
                <c:pt idx="11">
                  <c:v>2.9029999999999998E-3</c:v>
                </c:pt>
                <c:pt idx="12">
                  <c:v>6.241E-3</c:v>
                </c:pt>
                <c:pt idx="13">
                  <c:v>1.3290999999999999E-2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8E-4B6F-9C1D-8C1F27260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772256"/>
        <c:axId val="236775056"/>
      </c:scatterChart>
      <c:valAx>
        <c:axId val="23677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75056"/>
        <c:crosses val="autoZero"/>
        <c:crossBetween val="midCat"/>
      </c:valAx>
      <c:valAx>
        <c:axId val="23677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7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Hoja1!$B$35</c:f>
              <c:strCache>
                <c:ptCount val="1"/>
                <c:pt idx="0">
                  <c:v>loop4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Hoja1!$A$36:$A$42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Hoja1!$B$36:$B$42</c:f>
              <c:numCache>
                <c:formatCode>General</c:formatCode>
                <c:ptCount val="7"/>
                <c:pt idx="0">
                  <c:v>4.6E-5</c:v>
                </c:pt>
                <c:pt idx="1">
                  <c:v>9.0499999999999999E-4</c:v>
                </c:pt>
                <c:pt idx="2">
                  <c:v>1.2500000000000001E-2</c:v>
                </c:pt>
                <c:pt idx="3">
                  <c:v>0.20300000000000001</c:v>
                </c:pt>
                <c:pt idx="4">
                  <c:v>3.198</c:v>
                </c:pt>
                <c:pt idx="5">
                  <c:v>50.963000000000001</c:v>
                </c:pt>
                <c:pt idx="6">
                  <c:v>816.19299999999998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32-4DBA-8E89-70EF84C92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941120"/>
        <c:axId val="240943360"/>
      </c:scatterChart>
      <c:valAx>
        <c:axId val="24094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43360"/>
        <c:crosses val="autoZero"/>
        <c:crossBetween val="midCat"/>
      </c:valAx>
      <c:valAx>
        <c:axId val="2409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4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Hoja1!$C$35</c:f>
              <c:strCache>
                <c:ptCount val="1"/>
                <c:pt idx="0">
                  <c:v>loop5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Hoja1!$A$36:$A$42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Hoja1!$C$36:$C$42</c:f>
              <c:numCache>
                <c:formatCode>General</c:formatCode>
                <c:ptCount val="7"/>
                <c:pt idx="0">
                  <c:v>2.0299999999999999E-5</c:v>
                </c:pt>
                <c:pt idx="1">
                  <c:v>2.03E-4</c:v>
                </c:pt>
                <c:pt idx="2">
                  <c:v>2.0200000000000001E-3</c:v>
                </c:pt>
                <c:pt idx="3">
                  <c:v>1.8700000000000001E-2</c:v>
                </c:pt>
                <c:pt idx="4">
                  <c:v>0.17100000000000001</c:v>
                </c:pt>
                <c:pt idx="5">
                  <c:v>1.6380000000000001</c:v>
                </c:pt>
                <c:pt idx="6">
                  <c:v>14.557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F-4378-A866-27F96C409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371744"/>
        <c:axId val="234306656"/>
      </c:scatterChart>
      <c:valAx>
        <c:axId val="24337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06656"/>
        <c:crosses val="autoZero"/>
        <c:crossBetween val="midCat"/>
      </c:valAx>
      <c:valAx>
        <c:axId val="23430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7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133350</xdr:rowOff>
    </xdr:from>
    <xdr:to>
      <xdr:col>5</xdr:col>
      <xdr:colOff>390525</xdr:colOff>
      <xdr:row>16</xdr:row>
      <xdr:rowOff>2752726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657224</xdr:colOff>
      <xdr:row>16</xdr:row>
      <xdr:rowOff>142875</xdr:rowOff>
    </xdr:from>
    <xdr:to>
      <xdr:col>10</xdr:col>
      <xdr:colOff>57149</xdr:colOff>
      <xdr:row>16</xdr:row>
      <xdr:rowOff>2781300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33</xdr:row>
      <xdr:rowOff>100012</xdr:rowOff>
    </xdr:from>
    <xdr:to>
      <xdr:col>5</xdr:col>
      <xdr:colOff>457200</xdr:colOff>
      <xdr:row>33</xdr:row>
      <xdr:rowOff>2843212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962024</xdr:colOff>
      <xdr:row>33</xdr:row>
      <xdr:rowOff>109537</xdr:rowOff>
    </xdr:from>
    <xdr:to>
      <xdr:col>10</xdr:col>
      <xdr:colOff>342899</xdr:colOff>
      <xdr:row>33</xdr:row>
      <xdr:rowOff>2852737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43</xdr:row>
      <xdr:rowOff>85725</xdr:rowOff>
    </xdr:from>
    <xdr:to>
      <xdr:col>5</xdr:col>
      <xdr:colOff>390525</xdr:colOff>
      <xdr:row>55</xdr:row>
      <xdr:rowOff>185736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704850</xdr:colOff>
      <xdr:row>43</xdr:row>
      <xdr:rowOff>95250</xdr:rowOff>
    </xdr:from>
    <xdr:to>
      <xdr:col>10</xdr:col>
      <xdr:colOff>57150</xdr:colOff>
      <xdr:row>55</xdr:row>
      <xdr:rowOff>76200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L51" sqref="L51"/>
    </sheetView>
  </sheetViews>
  <sheetFormatPr baseColWidth="10" defaultColWidth="9.140625" defaultRowHeight="15" x14ac:dyDescent="0.25"/>
  <cols>
    <col min="1" max="1" width="10.7109375" customWidth="1"/>
    <col min="2" max="2" width="11.5703125" customWidth="1"/>
    <col min="3" max="3" width="11.7109375" customWidth="1"/>
    <col min="4" max="4" width="13.28515625" customWidth="1"/>
    <col min="5" max="5" width="12.85546875" customWidth="1"/>
    <col min="6" max="6" width="16.85546875" customWidth="1"/>
    <col min="7" max="7" width="19.5703125" customWidth="1"/>
    <col min="8" max="8" width="27.5703125" customWidth="1"/>
  </cols>
  <sheetData>
    <row r="1" spans="1:8" x14ac:dyDescent="0.25">
      <c r="B1" t="s">
        <v>0</v>
      </c>
      <c r="C1" t="s">
        <v>1</v>
      </c>
      <c r="D1" t="s">
        <v>2</v>
      </c>
      <c r="G1" t="s">
        <v>8</v>
      </c>
      <c r="H1" t="s">
        <v>9</v>
      </c>
    </row>
    <row r="2" spans="1:8" x14ac:dyDescent="0.25">
      <c r="A2">
        <v>8</v>
      </c>
      <c r="B2">
        <f>78*(10^-8)</f>
        <v>7.8000000000000005E-7</v>
      </c>
      <c r="C2">
        <f>46*(10^-8)</f>
        <v>4.5999999999999999E-7</v>
      </c>
      <c r="D2">
        <f>B2/C2</f>
        <v>1.6956521739130437</v>
      </c>
      <c r="G2">
        <f>B2</f>
        <v>7.8000000000000005E-7</v>
      </c>
      <c r="H2">
        <f>C2</f>
        <v>4.5999999999999999E-7</v>
      </c>
    </row>
    <row r="3" spans="1:8" x14ac:dyDescent="0.25">
      <c r="A3">
        <f t="shared" ref="A3:A15" si="0">A2*2</f>
        <v>16</v>
      </c>
      <c r="B3">
        <f>312*(10^-8)</f>
        <v>3.1200000000000002E-6</v>
      </c>
      <c r="C3">
        <f>172*(10^-8)</f>
        <v>1.72E-6</v>
      </c>
      <c r="D3">
        <f t="shared" ref="D3:D15" si="1">B3/C3</f>
        <v>1.8139534883720931</v>
      </c>
      <c r="G3">
        <f t="shared" ref="G3:G15" si="2">A3^2/A2^2 *B2</f>
        <v>3.1200000000000002E-6</v>
      </c>
      <c r="H3">
        <f>A3^2/A2^2 *C2</f>
        <v>1.84E-6</v>
      </c>
    </row>
    <row r="4" spans="1:8" x14ac:dyDescent="0.25">
      <c r="A4">
        <f t="shared" si="0"/>
        <v>32</v>
      </c>
      <c r="B4">
        <f>125*(10^-7)</f>
        <v>1.2499999999999999E-5</v>
      </c>
      <c r="C4">
        <f>62*(10^-7)</f>
        <v>6.1999999999999999E-6</v>
      </c>
      <c r="D4">
        <f t="shared" si="1"/>
        <v>2.0161290322580645</v>
      </c>
      <c r="G4">
        <f t="shared" si="2"/>
        <v>1.2480000000000001E-5</v>
      </c>
      <c r="H4">
        <f t="shared" ref="H4:H15" si="3">A4^2/A3^2 *C3</f>
        <v>6.8800000000000002E-6</v>
      </c>
    </row>
    <row r="5" spans="1:8" x14ac:dyDescent="0.25">
      <c r="A5">
        <f t="shared" si="0"/>
        <v>64</v>
      </c>
      <c r="B5">
        <f>63*(10^-6)</f>
        <v>6.3E-5</v>
      </c>
      <c r="C5">
        <f>250*(10^-7)</f>
        <v>2.4999999999999998E-5</v>
      </c>
      <c r="D5">
        <f t="shared" si="1"/>
        <v>2.52</v>
      </c>
      <c r="G5">
        <f t="shared" si="2"/>
        <v>4.9999999999999996E-5</v>
      </c>
      <c r="H5">
        <f t="shared" si="3"/>
        <v>2.48E-5</v>
      </c>
    </row>
    <row r="6" spans="1:8" x14ac:dyDescent="0.25">
      <c r="A6">
        <f t="shared" si="0"/>
        <v>128</v>
      </c>
      <c r="B6">
        <f>187*(10^-6)</f>
        <v>1.8699999999999999E-4</v>
      </c>
      <c r="C6">
        <f>94*(10^-6)</f>
        <v>9.3999999999999994E-5</v>
      </c>
      <c r="D6">
        <f t="shared" si="1"/>
        <v>1.9893617021276595</v>
      </c>
      <c r="G6">
        <f t="shared" si="2"/>
        <v>2.52E-4</v>
      </c>
      <c r="H6">
        <f t="shared" si="3"/>
        <v>9.9999999999999991E-5</v>
      </c>
    </row>
    <row r="7" spans="1:8" x14ac:dyDescent="0.25">
      <c r="A7">
        <f t="shared" si="0"/>
        <v>256</v>
      </c>
      <c r="B7">
        <f>78*(10^-5)</f>
        <v>7.8000000000000009E-4</v>
      </c>
      <c r="C7">
        <f>390*(10^-6)</f>
        <v>3.8999999999999999E-4</v>
      </c>
      <c r="D7">
        <f t="shared" si="1"/>
        <v>2.0000000000000004</v>
      </c>
      <c r="G7">
        <f t="shared" si="2"/>
        <v>7.4799999999999997E-4</v>
      </c>
      <c r="H7">
        <f t="shared" si="3"/>
        <v>3.7599999999999998E-4</v>
      </c>
    </row>
    <row r="8" spans="1:8" x14ac:dyDescent="0.25">
      <c r="A8">
        <f t="shared" si="0"/>
        <v>512</v>
      </c>
      <c r="B8">
        <f>297*(10^-5)</f>
        <v>2.9700000000000004E-3</v>
      </c>
      <c r="C8">
        <f>156*(10^-5)</f>
        <v>1.5600000000000002E-3</v>
      </c>
      <c r="D8">
        <f t="shared" si="1"/>
        <v>1.903846153846154</v>
      </c>
      <c r="G8">
        <f t="shared" si="2"/>
        <v>3.1200000000000004E-3</v>
      </c>
      <c r="H8">
        <f t="shared" si="3"/>
        <v>1.56E-3</v>
      </c>
    </row>
    <row r="9" spans="1:8" x14ac:dyDescent="0.25">
      <c r="A9">
        <f t="shared" si="0"/>
        <v>1024</v>
      </c>
      <c r="B9">
        <f>125*(10^-4)</f>
        <v>1.2500000000000001E-2</v>
      </c>
      <c r="C9">
        <f>62*(10^-4)</f>
        <v>6.2000000000000006E-3</v>
      </c>
      <c r="D9">
        <f t="shared" si="1"/>
        <v>2.0161290322580645</v>
      </c>
      <c r="G9">
        <f t="shared" si="2"/>
        <v>1.1880000000000002E-2</v>
      </c>
      <c r="H9">
        <f t="shared" si="3"/>
        <v>6.2400000000000008E-3</v>
      </c>
    </row>
    <row r="10" spans="1:8" x14ac:dyDescent="0.25">
      <c r="A10">
        <f t="shared" si="0"/>
        <v>2048</v>
      </c>
      <c r="B10">
        <f>48*(10^-3)</f>
        <v>4.8000000000000001E-2</v>
      </c>
      <c r="C10">
        <f>250*(10^-4)</f>
        <v>2.5000000000000001E-2</v>
      </c>
      <c r="D10">
        <f t="shared" si="1"/>
        <v>1.92</v>
      </c>
      <c r="G10">
        <f t="shared" si="2"/>
        <v>0.05</v>
      </c>
      <c r="H10">
        <f t="shared" si="3"/>
        <v>2.4800000000000003E-2</v>
      </c>
    </row>
    <row r="11" spans="1:8" x14ac:dyDescent="0.25">
      <c r="A11">
        <f t="shared" si="0"/>
        <v>4096</v>
      </c>
      <c r="B11">
        <f>203*(10^-3)</f>
        <v>0.20300000000000001</v>
      </c>
      <c r="C11">
        <f>93*(10^-3)</f>
        <v>9.2999999999999999E-2</v>
      </c>
      <c r="D11">
        <f t="shared" si="1"/>
        <v>2.1827956989247315</v>
      </c>
      <c r="G11">
        <f t="shared" si="2"/>
        <v>0.192</v>
      </c>
      <c r="H11">
        <f t="shared" si="3"/>
        <v>0.1</v>
      </c>
    </row>
    <row r="12" spans="1:8" x14ac:dyDescent="0.25">
      <c r="A12">
        <f t="shared" si="0"/>
        <v>8192</v>
      </c>
      <c r="B12">
        <f>811*(10^-3)</f>
        <v>0.81100000000000005</v>
      </c>
      <c r="C12">
        <f>406*(10^-3)</f>
        <v>0.40600000000000003</v>
      </c>
      <c r="D12">
        <f t="shared" si="1"/>
        <v>1.9975369458128078</v>
      </c>
      <c r="G12">
        <f t="shared" si="2"/>
        <v>0.81200000000000006</v>
      </c>
      <c r="H12">
        <f t="shared" si="3"/>
        <v>0.372</v>
      </c>
    </row>
    <row r="13" spans="1:8" x14ac:dyDescent="0.25">
      <c r="A13">
        <f t="shared" si="0"/>
        <v>16384</v>
      </c>
      <c r="B13">
        <f>3199*(10^-3)</f>
        <v>3.1990000000000003</v>
      </c>
      <c r="C13">
        <f>1622*(10^-3)</f>
        <v>1.6220000000000001</v>
      </c>
      <c r="D13">
        <f t="shared" si="1"/>
        <v>1.9722564734895192</v>
      </c>
      <c r="G13">
        <f t="shared" si="2"/>
        <v>3.2440000000000002</v>
      </c>
      <c r="H13">
        <f t="shared" si="3"/>
        <v>1.6240000000000001</v>
      </c>
    </row>
    <row r="14" spans="1:8" x14ac:dyDescent="0.25">
      <c r="A14">
        <f t="shared" si="0"/>
        <v>32768</v>
      </c>
      <c r="B14">
        <f>12730*(10^-3)</f>
        <v>12.73</v>
      </c>
      <c r="C14">
        <f>6383*(10^-3)</f>
        <v>6.383</v>
      </c>
      <c r="D14">
        <f t="shared" si="1"/>
        <v>1.9943600187999373</v>
      </c>
      <c r="G14">
        <f t="shared" si="2"/>
        <v>12.796000000000001</v>
      </c>
      <c r="H14">
        <f t="shared" si="3"/>
        <v>6.4880000000000004</v>
      </c>
    </row>
    <row r="15" spans="1:8" x14ac:dyDescent="0.25">
      <c r="A15">
        <f t="shared" si="0"/>
        <v>65536</v>
      </c>
      <c r="B15">
        <f>50982*(10^-3)</f>
        <v>50.981999999999999</v>
      </c>
      <c r="C15">
        <f>25523*(10^-3)</f>
        <v>25.523</v>
      </c>
      <c r="D15">
        <f t="shared" si="1"/>
        <v>1.9974924577831759</v>
      </c>
      <c r="G15">
        <f t="shared" si="2"/>
        <v>50.92</v>
      </c>
      <c r="H15">
        <f t="shared" si="3"/>
        <v>25.532</v>
      </c>
    </row>
    <row r="16" spans="1:8" x14ac:dyDescent="0.25">
      <c r="A16" s="2" t="s">
        <v>13</v>
      </c>
      <c r="B16" s="2"/>
      <c r="C16" s="2"/>
      <c r="D16" s="2"/>
      <c r="G16" s="4" t="s">
        <v>10</v>
      </c>
      <c r="H16" s="4"/>
    </row>
    <row r="17" spans="1:14" ht="226.5" customHeight="1" x14ac:dyDescent="0.25">
      <c r="G17" s="1"/>
      <c r="N17" s="1"/>
    </row>
    <row r="18" spans="1:14" x14ac:dyDescent="0.25">
      <c r="B18" t="s">
        <v>0</v>
      </c>
      <c r="C18" t="s">
        <v>3</v>
      </c>
      <c r="D18" t="s">
        <v>4</v>
      </c>
      <c r="G18" t="s">
        <v>8</v>
      </c>
      <c r="H18" t="s">
        <v>11</v>
      </c>
    </row>
    <row r="19" spans="1:14" x14ac:dyDescent="0.25">
      <c r="A19">
        <v>8</v>
      </c>
      <c r="B19">
        <f>78*(10^-8)</f>
        <v>7.8000000000000005E-7</v>
      </c>
      <c r="C19">
        <f>47*(10^-8)</f>
        <v>4.7E-7</v>
      </c>
      <c r="D19">
        <f>C19/B19</f>
        <v>0.60256410256410253</v>
      </c>
      <c r="G19">
        <f>B19</f>
        <v>7.8000000000000005E-7</v>
      </c>
      <c r="H19" s="3">
        <f>C19</f>
        <v>4.7E-7</v>
      </c>
    </row>
    <row r="20" spans="1:14" x14ac:dyDescent="0.25">
      <c r="A20">
        <f t="shared" ref="A20:A32" si="4">A19*2</f>
        <v>16</v>
      </c>
      <c r="B20">
        <f>312*(10^-8)</f>
        <v>3.1200000000000002E-6</v>
      </c>
      <c r="C20">
        <f>93*(10^-8)</f>
        <v>9.2999999999999999E-7</v>
      </c>
      <c r="D20">
        <f t="shared" ref="D20:D32" si="5">C20/B20</f>
        <v>0.29807692307692307</v>
      </c>
      <c r="G20">
        <f>A20^2/A19^2*B19</f>
        <v>3.1200000000000002E-6</v>
      </c>
      <c r="H20" s="3">
        <f>A20/A19*LOG10(A20)/LOG10(A19)*C19</f>
        <v>1.2533333333333335E-6</v>
      </c>
    </row>
    <row r="21" spans="1:14" x14ac:dyDescent="0.25">
      <c r="A21">
        <f t="shared" si="4"/>
        <v>32</v>
      </c>
      <c r="B21">
        <f>125*(10^-7)</f>
        <v>1.2499999999999999E-5</v>
      </c>
      <c r="C21">
        <f>234*(10^-8)</f>
        <v>2.34E-6</v>
      </c>
      <c r="D21">
        <f t="shared" si="5"/>
        <v>0.18720000000000003</v>
      </c>
      <c r="G21">
        <f t="shared" ref="G21:G32" si="6">A21^2/A20^2 *B20</f>
        <v>1.2480000000000001E-5</v>
      </c>
      <c r="H21" s="3">
        <f t="shared" ref="H21:H32" si="7">A21/A20*LOG10(A21)/LOG10(A20)*C20</f>
        <v>2.3249999999999998E-6</v>
      </c>
    </row>
    <row r="22" spans="1:14" x14ac:dyDescent="0.25">
      <c r="A22">
        <f t="shared" si="4"/>
        <v>64</v>
      </c>
      <c r="B22">
        <f>63*(10^-6)</f>
        <v>6.3E-5</v>
      </c>
      <c r="C22">
        <f>531*(10^-8)</f>
        <v>5.31E-6</v>
      </c>
      <c r="D22">
        <f t="shared" si="5"/>
        <v>8.4285714285714283E-2</v>
      </c>
      <c r="G22">
        <f t="shared" si="6"/>
        <v>4.9999999999999996E-5</v>
      </c>
      <c r="H22" s="3">
        <f t="shared" si="7"/>
        <v>5.6160000000000001E-6</v>
      </c>
    </row>
    <row r="23" spans="1:14" x14ac:dyDescent="0.25">
      <c r="A23">
        <f t="shared" si="4"/>
        <v>128</v>
      </c>
      <c r="B23">
        <f>187*(10^-6)</f>
        <v>1.8699999999999999E-4</v>
      </c>
      <c r="C23">
        <f>1233*(10^-8)</f>
        <v>1.2330000000000001E-5</v>
      </c>
      <c r="D23">
        <f t="shared" si="5"/>
        <v>6.5935828877005359E-2</v>
      </c>
      <c r="G23">
        <f t="shared" si="6"/>
        <v>2.52E-4</v>
      </c>
      <c r="H23" s="3">
        <f t="shared" si="7"/>
        <v>1.239E-5</v>
      </c>
    </row>
    <row r="24" spans="1:14" x14ac:dyDescent="0.25">
      <c r="A24">
        <f t="shared" si="4"/>
        <v>256</v>
      </c>
      <c r="B24">
        <f>78*(10^-5)</f>
        <v>7.8000000000000009E-4</v>
      </c>
      <c r="C24">
        <f>2731*(10^-8)</f>
        <v>2.7310000000000001E-5</v>
      </c>
      <c r="D24">
        <f t="shared" si="5"/>
        <v>3.5012820512820508E-2</v>
      </c>
      <c r="G24">
        <f t="shared" si="6"/>
        <v>7.4799999999999997E-4</v>
      </c>
      <c r="H24" s="3">
        <f t="shared" si="7"/>
        <v>2.8182857142857141E-5</v>
      </c>
    </row>
    <row r="25" spans="1:14" x14ac:dyDescent="0.25">
      <c r="A25">
        <f t="shared" si="4"/>
        <v>512</v>
      </c>
      <c r="B25">
        <f>297*(10^-5)</f>
        <v>2.9700000000000004E-3</v>
      </c>
      <c r="C25">
        <f>62*(10^-6)</f>
        <v>6.2000000000000003E-5</v>
      </c>
      <c r="D25">
        <f t="shared" si="5"/>
        <v>2.0875420875420873E-2</v>
      </c>
      <c r="G25">
        <f t="shared" si="6"/>
        <v>3.1200000000000004E-3</v>
      </c>
      <c r="H25" s="3">
        <f>A25/A24*LOG10(A25)/LOG10(A24)*C24</f>
        <v>6.1447500000000004E-5</v>
      </c>
    </row>
    <row r="26" spans="1:14" x14ac:dyDescent="0.25">
      <c r="A26">
        <f t="shared" si="4"/>
        <v>1024</v>
      </c>
      <c r="B26">
        <f>125*(10^-4)</f>
        <v>1.2500000000000001E-2</v>
      </c>
      <c r="C26">
        <f>125*(10^-6)</f>
        <v>1.25E-4</v>
      </c>
      <c r="D26">
        <f t="shared" si="5"/>
        <v>0.01</v>
      </c>
      <c r="G26">
        <f t="shared" si="6"/>
        <v>1.1880000000000002E-2</v>
      </c>
      <c r="H26" s="3">
        <f t="shared" si="7"/>
        <v>1.3777777777777779E-4</v>
      </c>
    </row>
    <row r="27" spans="1:14" x14ac:dyDescent="0.25">
      <c r="A27">
        <f t="shared" si="4"/>
        <v>2048</v>
      </c>
      <c r="B27">
        <f>48*(10^-3)</f>
        <v>4.8000000000000001E-2</v>
      </c>
      <c r="C27">
        <f>296*(10^-6)</f>
        <v>2.9599999999999998E-4</v>
      </c>
      <c r="D27">
        <f t="shared" si="5"/>
        <v>6.1666666666666667E-3</v>
      </c>
      <c r="G27">
        <f t="shared" si="6"/>
        <v>0.05</v>
      </c>
      <c r="H27" s="3">
        <f t="shared" si="7"/>
        <v>2.7500000000000002E-4</v>
      </c>
    </row>
    <row r="28" spans="1:14" x14ac:dyDescent="0.25">
      <c r="A28">
        <f t="shared" si="4"/>
        <v>4096</v>
      </c>
      <c r="B28">
        <f>203*(10^-3)</f>
        <v>0.20300000000000001</v>
      </c>
      <c r="C28">
        <f>624*(10^-6)</f>
        <v>6.2399999999999999E-4</v>
      </c>
      <c r="D28">
        <f t="shared" si="5"/>
        <v>3.0738916256157632E-3</v>
      </c>
      <c r="G28">
        <f t="shared" si="6"/>
        <v>0.192</v>
      </c>
      <c r="H28" s="3">
        <f t="shared" si="7"/>
        <v>6.4581818181818176E-4</v>
      </c>
    </row>
    <row r="29" spans="1:14" x14ac:dyDescent="0.25">
      <c r="A29">
        <f t="shared" si="4"/>
        <v>8192</v>
      </c>
      <c r="B29">
        <f>811*(10^-3)</f>
        <v>0.81100000000000005</v>
      </c>
      <c r="C29">
        <f>1374*(10^-6)</f>
        <v>1.374E-3</v>
      </c>
      <c r="D29">
        <f t="shared" si="5"/>
        <v>1.694204685573366E-3</v>
      </c>
      <c r="G29">
        <f t="shared" si="6"/>
        <v>0.81200000000000006</v>
      </c>
      <c r="H29" s="3">
        <f t="shared" si="7"/>
        <v>1.3519999999999999E-3</v>
      </c>
    </row>
    <row r="30" spans="1:14" x14ac:dyDescent="0.25">
      <c r="A30">
        <f t="shared" si="4"/>
        <v>16384</v>
      </c>
      <c r="B30">
        <f>3199*(10^-3)</f>
        <v>3.1990000000000003</v>
      </c>
      <c r="C30">
        <f>2903*(10^-6)</f>
        <v>2.9029999999999998E-3</v>
      </c>
      <c r="D30">
        <f t="shared" si="5"/>
        <v>9.07471084713973E-4</v>
      </c>
      <c r="G30">
        <f t="shared" si="6"/>
        <v>3.2440000000000002</v>
      </c>
      <c r="H30" s="3">
        <f t="shared" si="7"/>
        <v>2.9593846153846155E-3</v>
      </c>
    </row>
    <row r="31" spans="1:14" x14ac:dyDescent="0.25">
      <c r="A31">
        <f t="shared" si="4"/>
        <v>32768</v>
      </c>
      <c r="B31">
        <f>12730*(10^-3)</f>
        <v>12.73</v>
      </c>
      <c r="C31">
        <f>6241*(10^-6)</f>
        <v>6.241E-3</v>
      </c>
      <c r="D31">
        <f t="shared" si="5"/>
        <v>4.9025923016496461E-4</v>
      </c>
      <c r="G31">
        <f t="shared" si="6"/>
        <v>12.796000000000001</v>
      </c>
      <c r="H31" s="3">
        <f t="shared" si="7"/>
        <v>6.2207142857142851E-3</v>
      </c>
    </row>
    <row r="32" spans="1:14" x14ac:dyDescent="0.25">
      <c r="A32">
        <f t="shared" si="4"/>
        <v>65536</v>
      </c>
      <c r="B32">
        <f>50982*(10^-3)</f>
        <v>50.981999999999999</v>
      </c>
      <c r="C32">
        <f>13291*(10^-6)</f>
        <v>1.3290999999999999E-2</v>
      </c>
      <c r="D32">
        <f t="shared" si="5"/>
        <v>2.6069985485073163E-4</v>
      </c>
      <c r="G32">
        <f t="shared" si="6"/>
        <v>50.92</v>
      </c>
      <c r="H32" s="3">
        <f t="shared" si="7"/>
        <v>1.3314133333333334E-2</v>
      </c>
    </row>
    <row r="33" spans="1:8" x14ac:dyDescent="0.25">
      <c r="A33" s="2" t="s">
        <v>12</v>
      </c>
      <c r="B33" s="2"/>
      <c r="C33" s="2"/>
      <c r="D33" s="2"/>
      <c r="E33" s="2"/>
      <c r="G33" s="4" t="s">
        <v>10</v>
      </c>
      <c r="H33" s="4"/>
    </row>
    <row r="34" spans="1:8" ht="239.25" customHeight="1" x14ac:dyDescent="0.25">
      <c r="G34" s="1"/>
    </row>
    <row r="35" spans="1:8" x14ac:dyDescent="0.25">
      <c r="B35" t="s">
        <v>5</v>
      </c>
      <c r="C35" t="s">
        <v>6</v>
      </c>
      <c r="D35" t="s">
        <v>7</v>
      </c>
      <c r="G35" t="s">
        <v>14</v>
      </c>
      <c r="H35" t="s">
        <v>15</v>
      </c>
    </row>
    <row r="36" spans="1:8" x14ac:dyDescent="0.25">
      <c r="A36">
        <v>8</v>
      </c>
      <c r="B36">
        <f>46*(10^-6)</f>
        <v>4.6E-5</v>
      </c>
      <c r="C36">
        <f>203*(10^-7)</f>
        <v>2.0299999999999999E-5</v>
      </c>
      <c r="D36">
        <f>B36/C36</f>
        <v>2.2660098522167491</v>
      </c>
      <c r="G36">
        <f>B36</f>
        <v>4.6E-5</v>
      </c>
      <c r="H36">
        <f>C36</f>
        <v>2.0299999999999999E-5</v>
      </c>
    </row>
    <row r="37" spans="1:8" x14ac:dyDescent="0.25">
      <c r="A37">
        <f t="shared" ref="A37:A42" si="8">A36*2</f>
        <v>16</v>
      </c>
      <c r="B37">
        <f>905*(10^-6)</f>
        <v>9.0499999999999999E-4</v>
      </c>
      <c r="C37">
        <f>203*(10^-6)</f>
        <v>2.03E-4</v>
      </c>
      <c r="D37">
        <f t="shared" ref="D37:D42" si="9">B37/C37</f>
        <v>4.458128078817734</v>
      </c>
      <c r="G37">
        <f>$A37^4/$A36^4 *B36</f>
        <v>7.36E-4</v>
      </c>
      <c r="H37">
        <f>$A37^3/$A36^3 *LOG10(A37)/LOG10(A36)*C36</f>
        <v>2.1653333333333336E-4</v>
      </c>
    </row>
    <row r="38" spans="1:8" x14ac:dyDescent="0.25">
      <c r="A38">
        <f t="shared" si="8"/>
        <v>32</v>
      </c>
      <c r="B38">
        <f>125*(10^-4)</f>
        <v>1.2500000000000001E-2</v>
      </c>
      <c r="C38">
        <f>202*(10^-5)</f>
        <v>2.0200000000000001E-3</v>
      </c>
      <c r="D38">
        <f t="shared" si="9"/>
        <v>6.1881188118811883</v>
      </c>
      <c r="G38">
        <f t="shared" ref="G38:G42" si="10">$A38^4/$A37^4 *B37</f>
        <v>1.448E-2</v>
      </c>
      <c r="H38">
        <f t="shared" ref="H38:H42" si="11">$A38^3/$A37^3 *LOG10(A38)/LOG10(A37)*C37</f>
        <v>2.0300000000000001E-3</v>
      </c>
    </row>
    <row r="39" spans="1:8" x14ac:dyDescent="0.25">
      <c r="A39">
        <f t="shared" si="8"/>
        <v>64</v>
      </c>
      <c r="B39">
        <f>203*(10^-3)</f>
        <v>0.20300000000000001</v>
      </c>
      <c r="C39">
        <f>187*(10^-4)</f>
        <v>1.8700000000000001E-2</v>
      </c>
      <c r="D39">
        <f t="shared" si="9"/>
        <v>10.855614973262032</v>
      </c>
      <c r="G39">
        <f t="shared" si="10"/>
        <v>0.2</v>
      </c>
      <c r="H39">
        <f t="shared" si="11"/>
        <v>1.9392E-2</v>
      </c>
    </row>
    <row r="40" spans="1:8" x14ac:dyDescent="0.25">
      <c r="A40">
        <f t="shared" si="8"/>
        <v>128</v>
      </c>
      <c r="B40">
        <f>3198*(10^-3)</f>
        <v>3.198</v>
      </c>
      <c r="C40">
        <f>171*(10^-3)</f>
        <v>0.17100000000000001</v>
      </c>
      <c r="D40">
        <f t="shared" si="9"/>
        <v>18.701754385964911</v>
      </c>
      <c r="G40">
        <f t="shared" si="10"/>
        <v>3.2480000000000002</v>
      </c>
      <c r="H40">
        <f t="shared" si="11"/>
        <v>0.17453333333333335</v>
      </c>
    </row>
    <row r="41" spans="1:8" x14ac:dyDescent="0.25">
      <c r="A41">
        <f t="shared" si="8"/>
        <v>256</v>
      </c>
      <c r="B41">
        <f>50963*(10^-3)</f>
        <v>50.963000000000001</v>
      </c>
      <c r="C41">
        <f>1638*(10^-3)</f>
        <v>1.6380000000000001</v>
      </c>
      <c r="D41">
        <f t="shared" si="9"/>
        <v>31.112942612942611</v>
      </c>
      <c r="G41">
        <f t="shared" si="10"/>
        <v>51.167999999999999</v>
      </c>
      <c r="H41">
        <f t="shared" si="11"/>
        <v>1.5634285714285714</v>
      </c>
    </row>
    <row r="42" spans="1:8" x14ac:dyDescent="0.25">
      <c r="A42">
        <f t="shared" si="8"/>
        <v>512</v>
      </c>
      <c r="B42">
        <f>816193*(10^-3)</f>
        <v>816.19299999999998</v>
      </c>
      <c r="C42">
        <f>14557*(10^-3)</f>
        <v>14.557</v>
      </c>
      <c r="D42">
        <f t="shared" si="9"/>
        <v>56.068764168441298</v>
      </c>
      <c r="G42">
        <f t="shared" si="10"/>
        <v>815.40800000000002</v>
      </c>
      <c r="H42">
        <f t="shared" si="11"/>
        <v>14.742000000000001</v>
      </c>
    </row>
    <row r="43" spans="1:8" x14ac:dyDescent="0.25">
      <c r="G43" s="4" t="s">
        <v>10</v>
      </c>
      <c r="H43" s="4"/>
    </row>
    <row r="57" spans="1:6" x14ac:dyDescent="0.25">
      <c r="A57" s="5" t="s">
        <v>16</v>
      </c>
      <c r="B57" s="5"/>
    </row>
    <row r="58" spans="1:6" x14ac:dyDescent="0.25">
      <c r="A58" s="4" t="s">
        <v>17</v>
      </c>
      <c r="B58" s="4"/>
      <c r="C58" s="4"/>
      <c r="D58" s="4"/>
      <c r="E58" s="4"/>
      <c r="F58" s="4"/>
    </row>
  </sheetData>
  <mergeCells count="5">
    <mergeCell ref="G16:H16"/>
    <mergeCell ref="G43:H43"/>
    <mergeCell ref="G33:H33"/>
    <mergeCell ref="A58:F58"/>
    <mergeCell ref="A57:B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2017-02-14T15:25:49Z</dcterms:modified>
</cp:coreProperties>
</file>