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esktop\GIT Asignaturas\Algorithmics\"/>
    </mc:Choice>
  </mc:AlternateContent>
  <bookViews>
    <workbookView xWindow="0" yWindow="0" windowWidth="21600" windowHeight="973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B97" i="1"/>
  <c r="D97" i="1" s="1"/>
  <c r="C96" i="1"/>
  <c r="B96" i="1"/>
  <c r="C95" i="1"/>
  <c r="B95" i="1"/>
  <c r="D95" i="1" s="1"/>
  <c r="C94" i="1"/>
  <c r="B94" i="1"/>
  <c r="D94" i="1" s="1"/>
  <c r="C93" i="1"/>
  <c r="B93" i="1"/>
  <c r="D93" i="1" s="1"/>
  <c r="C92" i="1"/>
  <c r="B92" i="1"/>
  <c r="A92" i="1"/>
  <c r="A93" i="1" s="1"/>
  <c r="C91" i="1"/>
  <c r="H91" i="1" s="1"/>
  <c r="B91" i="1"/>
  <c r="G91" i="1" s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A75" i="1"/>
  <c r="A76" i="1" s="1"/>
  <c r="G74" i="1"/>
  <c r="C74" i="1"/>
  <c r="B74" i="1"/>
  <c r="C70" i="1"/>
  <c r="B70" i="1"/>
  <c r="D70" i="1" s="1"/>
  <c r="C69" i="1"/>
  <c r="B69" i="1"/>
  <c r="C68" i="1"/>
  <c r="D68" i="1" s="1"/>
  <c r="B68" i="1"/>
  <c r="C67" i="1"/>
  <c r="B67" i="1"/>
  <c r="D67" i="1" s="1"/>
  <c r="C66" i="1"/>
  <c r="B66" i="1"/>
  <c r="C65" i="1"/>
  <c r="B65" i="1"/>
  <c r="C64" i="1"/>
  <c r="B64" i="1"/>
  <c r="C63" i="1"/>
  <c r="B63" i="1"/>
  <c r="D63" i="1" s="1"/>
  <c r="C62" i="1"/>
  <c r="B62" i="1"/>
  <c r="C61" i="1"/>
  <c r="B61" i="1"/>
  <c r="D60" i="1"/>
  <c r="C60" i="1"/>
  <c r="B60" i="1"/>
  <c r="C59" i="1"/>
  <c r="B59" i="1"/>
  <c r="D59" i="1" s="1"/>
  <c r="C58" i="1"/>
  <c r="B58" i="1"/>
  <c r="A58" i="1"/>
  <c r="H57" i="1"/>
  <c r="C57" i="1"/>
  <c r="B57" i="1"/>
  <c r="H92" i="1" l="1"/>
  <c r="D57" i="1"/>
  <c r="D58" i="1"/>
  <c r="D62" i="1"/>
  <c r="D64" i="1"/>
  <c r="D66" i="1"/>
  <c r="D92" i="1"/>
  <c r="D61" i="1"/>
  <c r="D69" i="1"/>
  <c r="D76" i="1"/>
  <c r="D78" i="1"/>
  <c r="D80" i="1"/>
  <c r="D82" i="1"/>
  <c r="D84" i="1"/>
  <c r="D86" i="1"/>
  <c r="D91" i="1"/>
  <c r="G58" i="1"/>
  <c r="H58" i="1"/>
  <c r="D65" i="1"/>
  <c r="D74" i="1"/>
  <c r="D75" i="1"/>
  <c r="D77" i="1"/>
  <c r="D79" i="1"/>
  <c r="D81" i="1"/>
  <c r="D83" i="1"/>
  <c r="D85" i="1"/>
  <c r="D87" i="1"/>
  <c r="D96" i="1"/>
  <c r="G76" i="1"/>
  <c r="H76" i="1"/>
  <c r="A77" i="1"/>
  <c r="H93" i="1"/>
  <c r="G93" i="1"/>
  <c r="A94" i="1"/>
  <c r="G57" i="1"/>
  <c r="A59" i="1"/>
  <c r="H74" i="1"/>
  <c r="G92" i="1"/>
  <c r="H75" i="1"/>
  <c r="G75" i="1"/>
  <c r="A78" i="1" l="1"/>
  <c r="H77" i="1"/>
  <c r="G77" i="1"/>
  <c r="A95" i="1"/>
  <c r="H94" i="1"/>
  <c r="G94" i="1"/>
  <c r="A60" i="1"/>
  <c r="G59" i="1"/>
  <c r="H59" i="1"/>
  <c r="H95" i="1" l="1"/>
  <c r="G95" i="1"/>
  <c r="A96" i="1"/>
  <c r="H60" i="1"/>
  <c r="G60" i="1"/>
  <c r="A61" i="1"/>
  <c r="G78" i="1"/>
  <c r="H78" i="1"/>
  <c r="A79" i="1"/>
  <c r="H96" i="1" l="1"/>
  <c r="A97" i="1"/>
  <c r="G96" i="1"/>
  <c r="A62" i="1"/>
  <c r="H61" i="1"/>
  <c r="G61" i="1"/>
  <c r="A80" i="1"/>
  <c r="H79" i="1"/>
  <c r="G79" i="1"/>
  <c r="H62" i="1" l="1"/>
  <c r="G62" i="1"/>
  <c r="A63" i="1"/>
  <c r="G80" i="1"/>
  <c r="H80" i="1"/>
  <c r="A81" i="1"/>
  <c r="H97" i="1"/>
  <c r="G97" i="1"/>
  <c r="B24" i="1"/>
  <c r="B25" i="1"/>
  <c r="A36" i="1" s="1"/>
  <c r="B26" i="1"/>
  <c r="A37" i="1" s="1"/>
  <c r="B27" i="1"/>
  <c r="A38" i="1" s="1"/>
  <c r="B28" i="1"/>
  <c r="A39" i="1" s="1"/>
  <c r="B29" i="1"/>
  <c r="D24" i="1"/>
  <c r="D25" i="1"/>
  <c r="C36" i="1" s="1"/>
  <c r="D26" i="1"/>
  <c r="C37" i="1" s="1"/>
  <c r="D27" i="1"/>
  <c r="C38" i="1" s="1"/>
  <c r="D28" i="1"/>
  <c r="C39" i="1" s="1"/>
  <c r="D29" i="1"/>
  <c r="C25" i="1"/>
  <c r="B36" i="1" s="1"/>
  <c r="C26" i="1"/>
  <c r="B37" i="1" s="1"/>
  <c r="C27" i="1"/>
  <c r="B38" i="1" s="1"/>
  <c r="C28" i="1"/>
  <c r="B39" i="1" s="1"/>
  <c r="C29" i="1"/>
  <c r="I20" i="1"/>
  <c r="H36" i="1" s="1"/>
  <c r="I21" i="1"/>
  <c r="H37" i="1" s="1"/>
  <c r="I22" i="1"/>
  <c r="H38" i="1" s="1"/>
  <c r="I23" i="1"/>
  <c r="H39" i="1" s="1"/>
  <c r="I24" i="1"/>
  <c r="H40" i="1" s="1"/>
  <c r="I25" i="1"/>
  <c r="H41" i="1" s="1"/>
  <c r="I26" i="1"/>
  <c r="H42" i="1" s="1"/>
  <c r="I27" i="1"/>
  <c r="H20" i="1"/>
  <c r="G36" i="1" s="1"/>
  <c r="H21" i="1"/>
  <c r="G37" i="1" s="1"/>
  <c r="H22" i="1"/>
  <c r="G38" i="1" s="1"/>
  <c r="H23" i="1"/>
  <c r="G39" i="1" s="1"/>
  <c r="H24" i="1"/>
  <c r="G40" i="1" s="1"/>
  <c r="H25" i="1"/>
  <c r="G41" i="1" s="1"/>
  <c r="H26" i="1"/>
  <c r="G42" i="1" s="1"/>
  <c r="H27" i="1"/>
  <c r="G20" i="1"/>
  <c r="F36" i="1" s="1"/>
  <c r="G21" i="1"/>
  <c r="F37" i="1" s="1"/>
  <c r="G22" i="1"/>
  <c r="F38" i="1" s="1"/>
  <c r="G23" i="1"/>
  <c r="F39" i="1" s="1"/>
  <c r="G24" i="1"/>
  <c r="F40" i="1" s="1"/>
  <c r="G25" i="1"/>
  <c r="F41" i="1" s="1"/>
  <c r="G26" i="1"/>
  <c r="F42" i="1" s="1"/>
  <c r="G27" i="1"/>
  <c r="H19" i="1"/>
  <c r="I19" i="1"/>
  <c r="G19" i="1"/>
  <c r="H35" i="1" l="1"/>
  <c r="H34" i="1"/>
  <c r="F34" i="1"/>
  <c r="F35" i="1"/>
  <c r="G35" i="1"/>
  <c r="G34" i="1"/>
  <c r="H63" i="1"/>
  <c r="A64" i="1"/>
  <c r="G63" i="1"/>
  <c r="A82" i="1"/>
  <c r="H81" i="1"/>
  <c r="G81" i="1"/>
  <c r="C34" i="1"/>
  <c r="C35" i="1"/>
  <c r="A35" i="1"/>
  <c r="A34" i="1"/>
  <c r="C9" i="1"/>
  <c r="C24" i="1" s="1"/>
  <c r="G82" i="1" l="1"/>
  <c r="H82" i="1"/>
  <c r="A83" i="1"/>
  <c r="H64" i="1"/>
  <c r="G64" i="1"/>
  <c r="A65" i="1"/>
  <c r="B34" i="1"/>
  <c r="B35" i="1"/>
  <c r="A84" i="1" l="1"/>
  <c r="G83" i="1"/>
  <c r="H83" i="1"/>
  <c r="H65" i="1"/>
  <c r="A66" i="1"/>
  <c r="G65" i="1"/>
  <c r="H66" i="1" l="1"/>
  <c r="G66" i="1"/>
  <c r="A67" i="1"/>
  <c r="G84" i="1"/>
  <c r="A85" i="1"/>
  <c r="H84" i="1"/>
  <c r="A68" i="1" l="1"/>
  <c r="G67" i="1"/>
  <c r="H67" i="1"/>
  <c r="A86" i="1"/>
  <c r="H85" i="1"/>
  <c r="G85" i="1"/>
  <c r="G86" i="1" l="1"/>
  <c r="H86" i="1"/>
  <c r="A87" i="1"/>
  <c r="H68" i="1"/>
  <c r="G68" i="1"/>
  <c r="A69" i="1"/>
  <c r="H87" i="1" l="1"/>
  <c r="G87" i="1"/>
  <c r="A70" i="1"/>
  <c r="H69" i="1"/>
  <c r="G69" i="1"/>
  <c r="H70" i="1" l="1"/>
  <c r="G70" i="1"/>
</calcChain>
</file>

<file path=xl/sharedStrings.xml><?xml version="1.0" encoding="utf-8"?>
<sst xmlns="http://schemas.openxmlformats.org/spreadsheetml/2006/main" count="68" uniqueCount="47">
  <si>
    <t>n</t>
  </si>
  <si>
    <t>fillIn(t)</t>
  </si>
  <si>
    <t>sum(t)</t>
  </si>
  <si>
    <t>maximum(t)</t>
  </si>
  <si>
    <t>10000 times</t>
  </si>
  <si>
    <t>VECTOR</t>
  </si>
  <si>
    <t>VECTOR IN MILIS</t>
  </si>
  <si>
    <t>DIAG</t>
  </si>
  <si>
    <t>sum1Diagonal(t)</t>
  </si>
  <si>
    <t>sum2Diagonal(t)</t>
  </si>
  <si>
    <t>DIAG IN MILIS</t>
  </si>
  <si>
    <t>Explanation:</t>
  </si>
  <si>
    <t>Main Components:</t>
  </si>
  <si>
    <t>Theoretical complexities</t>
  </si>
  <si>
    <t>O(n) fill in</t>
  </si>
  <si>
    <t>O(n) sum</t>
  </si>
  <si>
    <t>O(n) maximum</t>
  </si>
  <si>
    <t>DIAGONAL</t>
  </si>
  <si>
    <t>O(n^2) fill in</t>
  </si>
  <si>
    <t>O(n^2) sum1Diagonal</t>
  </si>
  <si>
    <t>O(n^2) sum2Diagonal</t>
  </si>
  <si>
    <t>this high values are due to sound in the measurements</t>
  </si>
  <si>
    <t>As we can see in the graphs the vector has a complexity of O(n) in ALL the cases, fill in sum and also maximum.</t>
  </si>
  <si>
    <t>As we can see in the graphs the diagonal leads to a polinomical complexity of O(n^2) due to the call of the fill in method</t>
  </si>
  <si>
    <t xml:space="preserve">
</t>
  </si>
  <si>
    <t>CPU: Procesador Intel(R) Core(TM) i7-4510U CPU @ 2.00GHz, 2601 Mhz, 2 procesadores principales, 4 procesadores lógicos</t>
  </si>
  <si>
    <t>RAM: 12Gb</t>
  </si>
  <si>
    <t>LAB2</t>
  </si>
  <si>
    <t>loop2</t>
  </si>
  <si>
    <t>loop3</t>
  </si>
  <si>
    <t>loop2/loop3</t>
  </si>
  <si>
    <t>O(n^2) FROM LOOP 2</t>
  </si>
  <si>
    <t>O(n^2) FROM LOOP 3</t>
  </si>
  <si>
    <t>loop 3 has a better complexity than loop 2 because values are greater than 1</t>
  </si>
  <si>
    <t xml:space="preserve"> Theoretical Complexities</t>
  </si>
  <si>
    <t>loop1</t>
  </si>
  <si>
    <t>loop1/loop2</t>
  </si>
  <si>
    <t>O(nlogn) FROM LOOP 1</t>
  </si>
  <si>
    <t>loop 1 has a better complexity than loop 3 because values are smaller than 1</t>
  </si>
  <si>
    <t>loop4</t>
  </si>
  <si>
    <t>loop5</t>
  </si>
  <si>
    <t>loop4/loop5</t>
  </si>
  <si>
    <t>O(n^4) FROM LOOP4</t>
  </si>
  <si>
    <t>O(nlogn) FROM LOOP 5</t>
  </si>
  <si>
    <t>UNKNOWN METHOD:</t>
  </si>
  <si>
    <t>The complexity of this method is O(n^3) as there is 3 nested for loops and are iterative</t>
  </si>
  <si>
    <t>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</si>
</sst>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fillIn(t) vector</a:t>
            </a:r>
          </a:p>
        </c:rich>
      </c:tx>
      <c:layout>
        <c:manualLayout>
          <c:xMode val="edge"/>
          <c:yMode val="edge"/>
          <c:x val="0.38676444856157688"/>
          <c:y val="3.5874456351332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fillIn(t)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Hoja1!$B$19:$B$29</c:f>
              <c:numCache>
                <c:formatCode>General</c:formatCode>
                <c:ptCount val="11"/>
                <c:pt idx="5">
                  <c:v>4.1200000000000001E-2</c:v>
                </c:pt>
                <c:pt idx="6">
                  <c:v>0.20400000000000001</c:v>
                </c:pt>
                <c:pt idx="7">
                  <c:v>1.0845</c:v>
                </c:pt>
                <c:pt idx="8">
                  <c:v>5.9157000000000002</c:v>
                </c:pt>
                <c:pt idx="9">
                  <c:v>29.510200000000001</c:v>
                </c:pt>
                <c:pt idx="10">
                  <c:v>177.8322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7-4217-84A4-5AFD2F7C9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8664"/>
        <c:axId val="443637024"/>
      </c:scatterChart>
      <c:valAx>
        <c:axId val="4436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7024"/>
        <c:crosses val="autoZero"/>
        <c:crossBetween val="midCat"/>
      </c:valAx>
      <c:valAx>
        <c:axId val="4436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38454268558892E-2"/>
          <c:y val="0.19721055701370663"/>
          <c:w val="0.8421677427307887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[1]Hoja1!$C$18</c:f>
              <c:strCache>
                <c:ptCount val="1"/>
                <c:pt idx="0">
                  <c:v>loop1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[1]Hoja1!$A$19:$A$32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[1]Hoja1!$C$19:$C$32</c:f>
              <c:numCache>
                <c:formatCode>General</c:formatCode>
                <c:ptCount val="14"/>
                <c:pt idx="0">
                  <c:v>4.7E-7</c:v>
                </c:pt>
                <c:pt idx="1">
                  <c:v>9.2999999999999999E-7</c:v>
                </c:pt>
                <c:pt idx="2">
                  <c:v>2.34E-6</c:v>
                </c:pt>
                <c:pt idx="3">
                  <c:v>5.31E-6</c:v>
                </c:pt>
                <c:pt idx="4">
                  <c:v>1.2330000000000001E-5</c:v>
                </c:pt>
                <c:pt idx="5">
                  <c:v>2.7310000000000001E-5</c:v>
                </c:pt>
                <c:pt idx="6">
                  <c:v>6.2000000000000003E-5</c:v>
                </c:pt>
                <c:pt idx="7">
                  <c:v>1.25E-4</c:v>
                </c:pt>
                <c:pt idx="8">
                  <c:v>2.9599999999999998E-4</c:v>
                </c:pt>
                <c:pt idx="9">
                  <c:v>6.2399999999999999E-4</c:v>
                </c:pt>
                <c:pt idx="10">
                  <c:v>1.374E-3</c:v>
                </c:pt>
                <c:pt idx="11">
                  <c:v>2.9029999999999998E-3</c:v>
                </c:pt>
                <c:pt idx="12">
                  <c:v>6.241E-3</c:v>
                </c:pt>
                <c:pt idx="13">
                  <c:v>1.3290999999999999E-2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9-4C45-AD6D-1A56A5B2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256"/>
        <c:axId val="236775056"/>
      </c:scatterChart>
      <c:valAx>
        <c:axId val="236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5056"/>
        <c:crosses val="autoZero"/>
        <c:crossBetween val="midCat"/>
      </c:valAx>
      <c:valAx>
        <c:axId val="236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[1]Hoja1!$B$35</c:f>
              <c:strCache>
                <c:ptCount val="1"/>
                <c:pt idx="0">
                  <c:v>loop4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[1]Hoja1!$A$36:$A$42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[1]Hoja1!$B$36:$B$42</c:f>
              <c:numCache>
                <c:formatCode>General</c:formatCode>
                <c:ptCount val="7"/>
                <c:pt idx="0">
                  <c:v>4.6E-5</c:v>
                </c:pt>
                <c:pt idx="1">
                  <c:v>9.0499999999999999E-4</c:v>
                </c:pt>
                <c:pt idx="2">
                  <c:v>1.2500000000000001E-2</c:v>
                </c:pt>
                <c:pt idx="3">
                  <c:v>0.20300000000000001</c:v>
                </c:pt>
                <c:pt idx="4">
                  <c:v>3.198</c:v>
                </c:pt>
                <c:pt idx="5">
                  <c:v>50.963000000000001</c:v>
                </c:pt>
                <c:pt idx="6">
                  <c:v>816.19299999999998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A-4EE7-B2B7-39774A0D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41120"/>
        <c:axId val="240943360"/>
      </c:scatterChart>
      <c:valAx>
        <c:axId val="240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43360"/>
        <c:crosses val="autoZero"/>
        <c:crossBetween val="midCat"/>
      </c:valAx>
      <c:valAx>
        <c:axId val="240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[1]Hoja1!$C$35</c:f>
              <c:strCache>
                <c:ptCount val="1"/>
                <c:pt idx="0">
                  <c:v>loop5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[1]Hoja1!$A$36:$A$42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[1]Hoja1!$C$36:$C$42</c:f>
              <c:numCache>
                <c:formatCode>General</c:formatCode>
                <c:ptCount val="7"/>
                <c:pt idx="0">
                  <c:v>2.0299999999999999E-5</c:v>
                </c:pt>
                <c:pt idx="1">
                  <c:v>2.03E-4</c:v>
                </c:pt>
                <c:pt idx="2">
                  <c:v>2.0200000000000001E-3</c:v>
                </c:pt>
                <c:pt idx="3">
                  <c:v>1.8700000000000001E-2</c:v>
                </c:pt>
                <c:pt idx="4">
                  <c:v>0.17100000000000001</c:v>
                </c:pt>
                <c:pt idx="5">
                  <c:v>1.6380000000000001</c:v>
                </c:pt>
                <c:pt idx="6">
                  <c:v>14.557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4-4532-8A55-C19CE98E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71744"/>
        <c:axId val="234306656"/>
      </c:scatterChart>
      <c:valAx>
        <c:axId val="2433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06656"/>
        <c:crosses val="autoZero"/>
        <c:crossBetween val="midCat"/>
      </c:valAx>
      <c:valAx>
        <c:axId val="2343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sum(t) vector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23587051618546E-2"/>
          <c:y val="0.23745454545454545"/>
          <c:w val="0.80270530183727029"/>
          <c:h val="0.621949892627058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Hoja1!$C$18</c:f>
              <c:strCache>
                <c:ptCount val="1"/>
                <c:pt idx="0">
                  <c:v>sum(t)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Hoja1!$C$19:$C$29</c:f>
              <c:numCache>
                <c:formatCode>General</c:formatCode>
                <c:ptCount val="11"/>
                <c:pt idx="5">
                  <c:v>0.01</c:v>
                </c:pt>
                <c:pt idx="6">
                  <c:v>4.8800000000000003E-2</c:v>
                </c:pt>
                <c:pt idx="7">
                  <c:v>0.26519999999999999</c:v>
                </c:pt>
                <c:pt idx="8">
                  <c:v>1.4851000000000001</c:v>
                </c:pt>
                <c:pt idx="9">
                  <c:v>8.2286000000000001</c:v>
                </c:pt>
                <c:pt idx="10">
                  <c:v>39.052300000000002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0-44E6-8C88-D505FE72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8224"/>
        <c:axId val="447839864"/>
      </c:scatterChart>
      <c:valAx>
        <c:axId val="4478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9864"/>
        <c:crosses val="autoZero"/>
        <c:crossBetween val="midCat"/>
      </c:valAx>
      <c:valAx>
        <c:axId val="4478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maximum(t)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Hoja1!$D$18</c:f>
              <c:strCache>
                <c:ptCount val="1"/>
                <c:pt idx="0">
                  <c:v>maximum(t)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Hoja1!$A$19:$A$29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Hoja1!$D$19:$D$29</c:f>
              <c:numCache>
                <c:formatCode>General</c:formatCode>
                <c:ptCount val="11"/>
                <c:pt idx="5">
                  <c:v>1.2700000000000001E-2</c:v>
                </c:pt>
                <c:pt idx="6">
                  <c:v>7.2000000000000008E-2</c:v>
                </c:pt>
                <c:pt idx="7">
                  <c:v>0.37740000000000001</c:v>
                </c:pt>
                <c:pt idx="8">
                  <c:v>2.1443000000000003</c:v>
                </c:pt>
                <c:pt idx="9">
                  <c:v>10.572700000000001</c:v>
                </c:pt>
                <c:pt idx="10">
                  <c:v>49.314700000000002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D-48FB-BB30-D1249FAE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8200"/>
        <c:axId val="440158856"/>
      </c:scatterChart>
      <c:valAx>
        <c:axId val="44015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58856"/>
        <c:crosses val="autoZero"/>
        <c:crossBetween val="midCat"/>
      </c:valAx>
      <c:valAx>
        <c:axId val="4401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5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fillIn(t)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Hoja1!$G$18</c:f>
              <c:strCache>
                <c:ptCount val="1"/>
                <c:pt idx="0">
                  <c:v>fillIn(t)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Hoja1!$F$19:$F$27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Hoja1!$G$19:$G$27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6.0000000000000006E-4</c:v>
                </c:pt>
                <c:pt idx="2">
                  <c:v>2.2000000000000001E-3</c:v>
                </c:pt>
                <c:pt idx="3">
                  <c:v>8.3000000000000001E-3</c:v>
                </c:pt>
                <c:pt idx="4">
                  <c:v>3.39E-2</c:v>
                </c:pt>
                <c:pt idx="5">
                  <c:v>0.13639999999999999</c:v>
                </c:pt>
                <c:pt idx="6">
                  <c:v>0.5645</c:v>
                </c:pt>
                <c:pt idx="7">
                  <c:v>2.3383000000000003</c:v>
                </c:pt>
                <c:pt idx="8">
                  <c:v>9.9340000000000011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F08-BCA5-3E1A361C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42888"/>
        <c:axId val="504843216"/>
      </c:scatterChart>
      <c:valAx>
        <c:axId val="5048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3216"/>
        <c:crosses val="autoZero"/>
        <c:crossBetween val="midCat"/>
      </c:valAx>
      <c:valAx>
        <c:axId val="5048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Hoja1!$H$18</c:f>
              <c:strCache>
                <c:ptCount val="1"/>
                <c:pt idx="0">
                  <c:v>sum1Diagonal(t)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Hoja1!$F$19:$F$27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Hoja1!$H$19:$H$27</c:f>
              <c:numCache>
                <c:formatCode>General</c:formatCode>
                <c:ptCount val="9"/>
                <c:pt idx="0">
                  <c:v>1.3000000000000002E-3</c:v>
                </c:pt>
                <c:pt idx="1">
                  <c:v>6.9999999999999999E-4</c:v>
                </c:pt>
                <c:pt idx="2">
                  <c:v>2.3E-3</c:v>
                </c:pt>
                <c:pt idx="3">
                  <c:v>9.9000000000000008E-3</c:v>
                </c:pt>
                <c:pt idx="4">
                  <c:v>3.7000000000000005E-2</c:v>
                </c:pt>
                <c:pt idx="5">
                  <c:v>0.15510000000000002</c:v>
                </c:pt>
                <c:pt idx="6">
                  <c:v>0.64760000000000006</c:v>
                </c:pt>
                <c:pt idx="7">
                  <c:v>2.4218000000000002</c:v>
                </c:pt>
                <c:pt idx="8">
                  <c:v>10.293200000000001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3-4A5D-BC1F-9B67AF97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75512"/>
        <c:axId val="449981416"/>
      </c:scatterChart>
      <c:valAx>
        <c:axId val="4499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1416"/>
        <c:crosses val="autoZero"/>
        <c:crossBetween val="midCat"/>
      </c:valAx>
      <c:valAx>
        <c:axId val="4499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Hoja1!$I$18</c:f>
              <c:strCache>
                <c:ptCount val="1"/>
                <c:pt idx="0">
                  <c:v>sum2Diagonal(t)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Hoja1!$F$19:$F$27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Hoja1!$I$19:$I$27</c:f>
              <c:numCache>
                <c:formatCode>General</c:formatCode>
                <c:ptCount val="9"/>
                <c:pt idx="0">
                  <c:v>1.6000000000000001E-3</c:v>
                </c:pt>
                <c:pt idx="1">
                  <c:v>6.0000000000000006E-4</c:v>
                </c:pt>
                <c:pt idx="2">
                  <c:v>2.5000000000000001E-3</c:v>
                </c:pt>
                <c:pt idx="3">
                  <c:v>9.6000000000000009E-3</c:v>
                </c:pt>
                <c:pt idx="4">
                  <c:v>3.8200000000000005E-2</c:v>
                </c:pt>
                <c:pt idx="5">
                  <c:v>0.15190000000000001</c:v>
                </c:pt>
                <c:pt idx="6">
                  <c:v>0.60809999999999997</c:v>
                </c:pt>
                <c:pt idx="7">
                  <c:v>2.3309000000000002</c:v>
                </c:pt>
                <c:pt idx="8">
                  <c:v>9.5020000000000007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0-4C72-B057-1D5B1051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83384"/>
        <c:axId val="453882728"/>
      </c:scatterChart>
      <c:valAx>
        <c:axId val="45388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82728"/>
        <c:crosses val="autoZero"/>
        <c:crossBetween val="midCat"/>
      </c:valAx>
      <c:valAx>
        <c:axId val="4538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8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[1]Hoja1!$B$1</c:f>
              <c:strCache>
                <c:ptCount val="1"/>
                <c:pt idx="0">
                  <c:v>loop2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[1]Hoja1!$A$2:$A$15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[1]Hoja1!$B$2:$B$15</c:f>
              <c:numCache>
                <c:formatCode>General</c:formatCode>
                <c:ptCount val="14"/>
                <c:pt idx="0">
                  <c:v>7.8000000000000005E-7</c:v>
                </c:pt>
                <c:pt idx="1">
                  <c:v>3.1200000000000002E-6</c:v>
                </c:pt>
                <c:pt idx="2">
                  <c:v>1.2499999999999999E-5</c:v>
                </c:pt>
                <c:pt idx="3">
                  <c:v>6.3E-5</c:v>
                </c:pt>
                <c:pt idx="4">
                  <c:v>1.8699999999999999E-4</c:v>
                </c:pt>
                <c:pt idx="5">
                  <c:v>7.8000000000000009E-4</c:v>
                </c:pt>
                <c:pt idx="6">
                  <c:v>2.9700000000000004E-3</c:v>
                </c:pt>
                <c:pt idx="7">
                  <c:v>1.2500000000000001E-2</c:v>
                </c:pt>
                <c:pt idx="8">
                  <c:v>4.8000000000000001E-2</c:v>
                </c:pt>
                <c:pt idx="9">
                  <c:v>0.20300000000000001</c:v>
                </c:pt>
                <c:pt idx="10">
                  <c:v>0.81100000000000005</c:v>
                </c:pt>
                <c:pt idx="11">
                  <c:v>3.1990000000000003</c:v>
                </c:pt>
                <c:pt idx="12">
                  <c:v>12.73</c:v>
                </c:pt>
                <c:pt idx="13">
                  <c:v>50.981999999999999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2EB-A3D5-708BAFFF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1616"/>
        <c:axId val="234307776"/>
      </c:scatterChart>
      <c:valAx>
        <c:axId val="2343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07776"/>
        <c:crosses val="autoZero"/>
        <c:crossBetween val="midCat"/>
      </c:valAx>
      <c:valAx>
        <c:axId val="23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[1]Hoja1!$C$1</c:f>
              <c:strCache>
                <c:ptCount val="1"/>
                <c:pt idx="0">
                  <c:v>loop3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[1]Hoja1!$A$2:$A$15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[1]Hoja1!$C$2:$C$15</c:f>
              <c:numCache>
                <c:formatCode>General</c:formatCode>
                <c:ptCount val="14"/>
                <c:pt idx="0">
                  <c:v>4.5999999999999999E-7</c:v>
                </c:pt>
                <c:pt idx="1">
                  <c:v>1.72E-6</c:v>
                </c:pt>
                <c:pt idx="2">
                  <c:v>6.1999999999999999E-6</c:v>
                </c:pt>
                <c:pt idx="3">
                  <c:v>2.4999999999999998E-5</c:v>
                </c:pt>
                <c:pt idx="4">
                  <c:v>9.3999999999999994E-5</c:v>
                </c:pt>
                <c:pt idx="5">
                  <c:v>3.8999999999999999E-4</c:v>
                </c:pt>
                <c:pt idx="6">
                  <c:v>1.5600000000000002E-3</c:v>
                </c:pt>
                <c:pt idx="7">
                  <c:v>6.2000000000000006E-3</c:v>
                </c:pt>
                <c:pt idx="8">
                  <c:v>2.5000000000000001E-2</c:v>
                </c:pt>
                <c:pt idx="9">
                  <c:v>9.2999999999999999E-2</c:v>
                </c:pt>
                <c:pt idx="10">
                  <c:v>0.40600000000000003</c:v>
                </c:pt>
                <c:pt idx="11">
                  <c:v>1.6220000000000001</c:v>
                </c:pt>
                <c:pt idx="12">
                  <c:v>6.383</c:v>
                </c:pt>
                <c:pt idx="13">
                  <c:v>25.523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5-44C1-9450-E50CE489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9536"/>
        <c:axId val="236778976"/>
      </c:scatterChart>
      <c:valAx>
        <c:axId val="2367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8976"/>
        <c:crosses val="autoZero"/>
        <c:crossBetween val="midCat"/>
      </c:valAx>
      <c:valAx>
        <c:axId val="2367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[1]Hoja1!$B$18</c:f>
              <c:strCache>
                <c:ptCount val="1"/>
                <c:pt idx="0">
                  <c:v>loop2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[1]Hoja1!$A$19:$A$32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[1]Hoja1!$B$19:$B$32</c:f>
              <c:numCache>
                <c:formatCode>General</c:formatCode>
                <c:ptCount val="14"/>
                <c:pt idx="0">
                  <c:v>7.8000000000000005E-7</c:v>
                </c:pt>
                <c:pt idx="1">
                  <c:v>3.1200000000000002E-6</c:v>
                </c:pt>
                <c:pt idx="2">
                  <c:v>1.2499999999999999E-5</c:v>
                </c:pt>
                <c:pt idx="3">
                  <c:v>6.3E-5</c:v>
                </c:pt>
                <c:pt idx="4">
                  <c:v>1.8699999999999999E-4</c:v>
                </c:pt>
                <c:pt idx="5">
                  <c:v>7.8000000000000009E-4</c:v>
                </c:pt>
                <c:pt idx="6">
                  <c:v>2.9700000000000004E-3</c:v>
                </c:pt>
                <c:pt idx="7">
                  <c:v>1.2500000000000001E-2</c:v>
                </c:pt>
                <c:pt idx="8">
                  <c:v>4.8000000000000001E-2</c:v>
                </c:pt>
                <c:pt idx="9">
                  <c:v>0.20300000000000001</c:v>
                </c:pt>
                <c:pt idx="10">
                  <c:v>0.81100000000000005</c:v>
                </c:pt>
                <c:pt idx="11">
                  <c:v>3.1990000000000003</c:v>
                </c:pt>
                <c:pt idx="12">
                  <c:v>12.73</c:v>
                </c:pt>
                <c:pt idx="13">
                  <c:v>50.981999999999999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F-4405-A03A-D1918937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608"/>
        <c:axId val="168137408"/>
      </c:scatterChart>
      <c:valAx>
        <c:axId val="1681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408"/>
        <c:crosses val="autoZero"/>
        <c:crossBetween val="midCat"/>
      </c:valAx>
      <c:valAx>
        <c:axId val="168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152401</xdr:rowOff>
    </xdr:from>
    <xdr:to>
      <xdr:col>13</xdr:col>
      <xdr:colOff>266700</xdr:colOff>
      <xdr:row>12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466726</xdr:colOff>
      <xdr:row>1</xdr:row>
      <xdr:rowOff>180975</xdr:rowOff>
    </xdr:from>
    <xdr:to>
      <xdr:col>17</xdr:col>
      <xdr:colOff>619126</xdr:colOff>
      <xdr:row>12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</xdr:row>
      <xdr:rowOff>114300</xdr:rowOff>
    </xdr:from>
    <xdr:to>
      <xdr:col>22</xdr:col>
      <xdr:colOff>95250</xdr:colOff>
      <xdr:row>13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209550</xdr:colOff>
      <xdr:row>16</xdr:row>
      <xdr:rowOff>38100</xdr:rowOff>
    </xdr:from>
    <xdr:to>
      <xdr:col>13</xdr:col>
      <xdr:colOff>476250</xdr:colOff>
      <xdr:row>30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15</xdr:row>
      <xdr:rowOff>123825</xdr:rowOff>
    </xdr:from>
    <xdr:to>
      <xdr:col>17</xdr:col>
      <xdr:colOff>685800</xdr:colOff>
      <xdr:row>30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752475</xdr:colOff>
      <xdr:row>16</xdr:row>
      <xdr:rowOff>0</xdr:rowOff>
    </xdr:from>
    <xdr:to>
      <xdr:col>22</xdr:col>
      <xdr:colOff>171450</xdr:colOff>
      <xdr:row>30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133350</xdr:rowOff>
    </xdr:from>
    <xdr:to>
      <xdr:col>5</xdr:col>
      <xdr:colOff>390525</xdr:colOff>
      <xdr:row>71</xdr:row>
      <xdr:rowOff>2752726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657224</xdr:colOff>
      <xdr:row>71</xdr:row>
      <xdr:rowOff>142875</xdr:rowOff>
    </xdr:from>
    <xdr:to>
      <xdr:col>10</xdr:col>
      <xdr:colOff>57149</xdr:colOff>
      <xdr:row>71</xdr:row>
      <xdr:rowOff>2781300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</xdr:colOff>
      <xdr:row>88</xdr:row>
      <xdr:rowOff>100012</xdr:rowOff>
    </xdr:from>
    <xdr:to>
      <xdr:col>5</xdr:col>
      <xdr:colOff>457200</xdr:colOff>
      <xdr:row>88</xdr:row>
      <xdr:rowOff>2843212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962024</xdr:colOff>
      <xdr:row>88</xdr:row>
      <xdr:rowOff>109537</xdr:rowOff>
    </xdr:from>
    <xdr:to>
      <xdr:col>10</xdr:col>
      <xdr:colOff>342899</xdr:colOff>
      <xdr:row>88</xdr:row>
      <xdr:rowOff>2852737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98</xdr:row>
      <xdr:rowOff>85725</xdr:rowOff>
    </xdr:from>
    <xdr:to>
      <xdr:col>5</xdr:col>
      <xdr:colOff>390525</xdr:colOff>
      <xdr:row>110</xdr:row>
      <xdr:rowOff>185736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704850</xdr:colOff>
      <xdr:row>98</xdr:row>
      <xdr:rowOff>95250</xdr:rowOff>
    </xdr:from>
    <xdr:to>
      <xdr:col>10</xdr:col>
      <xdr:colOff>57150</xdr:colOff>
      <xdr:row>110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loop2</v>
          </cell>
          <cell r="C1" t="str">
            <v>loop3</v>
          </cell>
        </row>
        <row r="2">
          <cell r="A2">
            <v>8</v>
          </cell>
          <cell r="B2">
            <v>7.8000000000000005E-7</v>
          </cell>
          <cell r="C2">
            <v>4.5999999999999999E-7</v>
          </cell>
        </row>
        <row r="3">
          <cell r="A3">
            <v>16</v>
          </cell>
          <cell r="B3">
            <v>3.1200000000000002E-6</v>
          </cell>
          <cell r="C3">
            <v>1.72E-6</v>
          </cell>
        </row>
        <row r="4">
          <cell r="A4">
            <v>32</v>
          </cell>
          <cell r="B4">
            <v>1.2499999999999999E-5</v>
          </cell>
          <cell r="C4">
            <v>6.1999999999999999E-6</v>
          </cell>
        </row>
        <row r="5">
          <cell r="A5">
            <v>64</v>
          </cell>
          <cell r="B5">
            <v>6.3E-5</v>
          </cell>
          <cell r="C5">
            <v>2.4999999999999998E-5</v>
          </cell>
        </row>
        <row r="6">
          <cell r="A6">
            <v>128</v>
          </cell>
          <cell r="B6">
            <v>1.8699999999999999E-4</v>
          </cell>
          <cell r="C6">
            <v>9.3999999999999994E-5</v>
          </cell>
        </row>
        <row r="7">
          <cell r="A7">
            <v>256</v>
          </cell>
          <cell r="B7">
            <v>7.8000000000000009E-4</v>
          </cell>
          <cell r="C7">
            <v>3.8999999999999999E-4</v>
          </cell>
        </row>
        <row r="8">
          <cell r="A8">
            <v>512</v>
          </cell>
          <cell r="B8">
            <v>2.9700000000000004E-3</v>
          </cell>
          <cell r="C8">
            <v>1.5600000000000002E-3</v>
          </cell>
        </row>
        <row r="9">
          <cell r="A9">
            <v>1024</v>
          </cell>
          <cell r="B9">
            <v>1.2500000000000001E-2</v>
          </cell>
          <cell r="C9">
            <v>6.2000000000000006E-3</v>
          </cell>
        </row>
        <row r="10">
          <cell r="A10">
            <v>2048</v>
          </cell>
          <cell r="B10">
            <v>4.8000000000000001E-2</v>
          </cell>
          <cell r="C10">
            <v>2.5000000000000001E-2</v>
          </cell>
        </row>
        <row r="11">
          <cell r="A11">
            <v>4096</v>
          </cell>
          <cell r="B11">
            <v>0.20300000000000001</v>
          </cell>
          <cell r="C11">
            <v>9.2999999999999999E-2</v>
          </cell>
        </row>
        <row r="12">
          <cell r="A12">
            <v>8192</v>
          </cell>
          <cell r="B12">
            <v>0.81100000000000005</v>
          </cell>
          <cell r="C12">
            <v>0.40600000000000003</v>
          </cell>
        </row>
        <row r="13">
          <cell r="A13">
            <v>16384</v>
          </cell>
          <cell r="B13">
            <v>3.1990000000000003</v>
          </cell>
          <cell r="C13">
            <v>1.6220000000000001</v>
          </cell>
        </row>
        <row r="14">
          <cell r="A14">
            <v>32768</v>
          </cell>
          <cell r="B14">
            <v>12.73</v>
          </cell>
          <cell r="C14">
            <v>6.383</v>
          </cell>
        </row>
        <row r="15">
          <cell r="A15">
            <v>65536</v>
          </cell>
          <cell r="B15">
            <v>50.981999999999999</v>
          </cell>
          <cell r="C15">
            <v>25.523</v>
          </cell>
        </row>
        <row r="18">
          <cell r="B18" t="str">
            <v>loop2</v>
          </cell>
          <cell r="C18" t="str">
            <v>loop1</v>
          </cell>
        </row>
        <row r="19">
          <cell r="A19">
            <v>8</v>
          </cell>
          <cell r="B19">
            <v>7.8000000000000005E-7</v>
          </cell>
          <cell r="C19">
            <v>4.7E-7</v>
          </cell>
        </row>
        <row r="20">
          <cell r="A20">
            <v>16</v>
          </cell>
          <cell r="B20">
            <v>3.1200000000000002E-6</v>
          </cell>
          <cell r="C20">
            <v>9.2999999999999999E-7</v>
          </cell>
        </row>
        <row r="21">
          <cell r="A21">
            <v>32</v>
          </cell>
          <cell r="B21">
            <v>1.2499999999999999E-5</v>
          </cell>
          <cell r="C21">
            <v>2.34E-6</v>
          </cell>
        </row>
        <row r="22">
          <cell r="A22">
            <v>64</v>
          </cell>
          <cell r="B22">
            <v>6.3E-5</v>
          </cell>
          <cell r="C22">
            <v>5.31E-6</v>
          </cell>
        </row>
        <row r="23">
          <cell r="A23">
            <v>128</v>
          </cell>
          <cell r="B23">
            <v>1.8699999999999999E-4</v>
          </cell>
          <cell r="C23">
            <v>1.2330000000000001E-5</v>
          </cell>
        </row>
        <row r="24">
          <cell r="A24">
            <v>256</v>
          </cell>
          <cell r="B24">
            <v>7.8000000000000009E-4</v>
          </cell>
          <cell r="C24">
            <v>2.7310000000000001E-5</v>
          </cell>
        </row>
        <row r="25">
          <cell r="A25">
            <v>512</v>
          </cell>
          <cell r="B25">
            <v>2.9700000000000004E-3</v>
          </cell>
          <cell r="C25">
            <v>6.2000000000000003E-5</v>
          </cell>
        </row>
        <row r="26">
          <cell r="A26">
            <v>1024</v>
          </cell>
          <cell r="B26">
            <v>1.2500000000000001E-2</v>
          </cell>
          <cell r="C26">
            <v>1.25E-4</v>
          </cell>
        </row>
        <row r="27">
          <cell r="A27">
            <v>2048</v>
          </cell>
          <cell r="B27">
            <v>4.8000000000000001E-2</v>
          </cell>
          <cell r="C27">
            <v>2.9599999999999998E-4</v>
          </cell>
        </row>
        <row r="28">
          <cell r="A28">
            <v>4096</v>
          </cell>
          <cell r="B28">
            <v>0.20300000000000001</v>
          </cell>
          <cell r="C28">
            <v>6.2399999999999999E-4</v>
          </cell>
        </row>
        <row r="29">
          <cell r="A29">
            <v>8192</v>
          </cell>
          <cell r="B29">
            <v>0.81100000000000005</v>
          </cell>
          <cell r="C29">
            <v>1.374E-3</v>
          </cell>
        </row>
        <row r="30">
          <cell r="A30">
            <v>16384</v>
          </cell>
          <cell r="B30">
            <v>3.1990000000000003</v>
          </cell>
          <cell r="C30">
            <v>2.9029999999999998E-3</v>
          </cell>
        </row>
        <row r="31">
          <cell r="A31">
            <v>32768</v>
          </cell>
          <cell r="B31">
            <v>12.73</v>
          </cell>
          <cell r="C31">
            <v>6.241E-3</v>
          </cell>
        </row>
        <row r="32">
          <cell r="A32">
            <v>65536</v>
          </cell>
          <cell r="B32">
            <v>50.981999999999999</v>
          </cell>
          <cell r="C32">
            <v>1.3290999999999999E-2</v>
          </cell>
        </row>
        <row r="35">
          <cell r="B35" t="str">
            <v>loop4</v>
          </cell>
          <cell r="C35" t="str">
            <v>loop5</v>
          </cell>
        </row>
        <row r="36">
          <cell r="A36">
            <v>8</v>
          </cell>
          <cell r="B36">
            <v>4.6E-5</v>
          </cell>
          <cell r="C36">
            <v>2.0299999999999999E-5</v>
          </cell>
        </row>
        <row r="37">
          <cell r="A37">
            <v>16</v>
          </cell>
          <cell r="B37">
            <v>9.0499999999999999E-4</v>
          </cell>
          <cell r="C37">
            <v>2.03E-4</v>
          </cell>
        </row>
        <row r="38">
          <cell r="A38">
            <v>32</v>
          </cell>
          <cell r="B38">
            <v>1.2500000000000001E-2</v>
          </cell>
          <cell r="C38">
            <v>2.0200000000000001E-3</v>
          </cell>
        </row>
        <row r="39">
          <cell r="A39">
            <v>64</v>
          </cell>
          <cell r="B39">
            <v>0.20300000000000001</v>
          </cell>
          <cell r="C39">
            <v>1.8700000000000001E-2</v>
          </cell>
        </row>
        <row r="40">
          <cell r="A40">
            <v>128</v>
          </cell>
          <cell r="B40">
            <v>3.198</v>
          </cell>
          <cell r="C40">
            <v>0.17100000000000001</v>
          </cell>
        </row>
        <row r="41">
          <cell r="A41">
            <v>256</v>
          </cell>
          <cell r="B41">
            <v>50.963000000000001</v>
          </cell>
          <cell r="C41">
            <v>1.6380000000000001</v>
          </cell>
        </row>
        <row r="42">
          <cell r="A42">
            <v>512</v>
          </cell>
          <cell r="B42">
            <v>816.19299999999998</v>
          </cell>
          <cell r="C42">
            <v>14.557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68" zoomScaleNormal="100" workbookViewId="0">
      <selection activeCell="H54" sqref="H54"/>
    </sheetView>
  </sheetViews>
  <sheetFormatPr baseColWidth="10" defaultRowHeight="15" x14ac:dyDescent="0.25"/>
  <cols>
    <col min="4" max="4" width="11.42578125" customWidth="1"/>
    <col min="5" max="5" width="2.42578125" customWidth="1"/>
    <col min="7" max="7" width="11.85546875" bestFit="1" customWidth="1"/>
    <col min="8" max="8" width="15.42578125" customWidth="1"/>
    <col min="9" max="9" width="16.42578125" customWidth="1"/>
  </cols>
  <sheetData>
    <row r="1" spans="1:9" s="2" customFormat="1" ht="28.5" x14ac:dyDescent="0.45">
      <c r="A1" s="7" t="s">
        <v>46</v>
      </c>
    </row>
    <row r="2" spans="1:9" x14ac:dyDescent="0.25">
      <c r="A2" t="s">
        <v>5</v>
      </c>
      <c r="F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8</v>
      </c>
      <c r="I3" t="s">
        <v>9</v>
      </c>
    </row>
    <row r="4" spans="1:9" x14ac:dyDescent="0.25">
      <c r="A4">
        <v>10</v>
      </c>
      <c r="F4">
        <v>3</v>
      </c>
      <c r="G4">
        <v>8</v>
      </c>
      <c r="H4">
        <v>13</v>
      </c>
      <c r="I4">
        <v>16</v>
      </c>
    </row>
    <row r="5" spans="1:9" x14ac:dyDescent="0.25">
      <c r="A5">
        <v>50</v>
      </c>
      <c r="F5">
        <v>6</v>
      </c>
      <c r="G5">
        <v>6</v>
      </c>
      <c r="H5">
        <v>7</v>
      </c>
      <c r="I5">
        <v>6</v>
      </c>
    </row>
    <row r="6" spans="1:9" x14ac:dyDescent="0.25">
      <c r="A6">
        <v>250</v>
      </c>
      <c r="F6">
        <v>12</v>
      </c>
      <c r="G6">
        <v>22</v>
      </c>
      <c r="H6">
        <v>23</v>
      </c>
      <c r="I6">
        <v>25</v>
      </c>
    </row>
    <row r="7" spans="1:9" x14ac:dyDescent="0.25">
      <c r="A7">
        <v>1250</v>
      </c>
      <c r="F7">
        <v>24</v>
      </c>
      <c r="G7">
        <v>83</v>
      </c>
      <c r="H7">
        <v>99</v>
      </c>
      <c r="I7">
        <v>96</v>
      </c>
    </row>
    <row r="8" spans="1:9" x14ac:dyDescent="0.25">
      <c r="A8">
        <v>6250</v>
      </c>
      <c r="F8">
        <v>48</v>
      </c>
      <c r="G8">
        <v>339</v>
      </c>
      <c r="H8">
        <v>370</v>
      </c>
      <c r="I8">
        <v>382</v>
      </c>
    </row>
    <row r="9" spans="1:9" x14ac:dyDescent="0.25">
      <c r="A9">
        <v>31250</v>
      </c>
      <c r="B9">
        <v>412</v>
      </c>
      <c r="C9">
        <f>100</f>
        <v>100</v>
      </c>
      <c r="D9">
        <v>127</v>
      </c>
      <c r="F9">
        <v>96</v>
      </c>
      <c r="G9">
        <v>1364</v>
      </c>
      <c r="H9">
        <v>1551</v>
      </c>
      <c r="I9">
        <v>1519</v>
      </c>
    </row>
    <row r="10" spans="1:9" x14ac:dyDescent="0.25">
      <c r="A10">
        <v>156250</v>
      </c>
      <c r="B10">
        <v>2040</v>
      </c>
      <c r="C10">
        <v>488</v>
      </c>
      <c r="D10">
        <v>720</v>
      </c>
      <c r="F10">
        <v>192</v>
      </c>
      <c r="G10">
        <v>5645</v>
      </c>
      <c r="H10">
        <v>6476</v>
      </c>
      <c r="I10">
        <v>6081</v>
      </c>
    </row>
    <row r="11" spans="1:9" x14ac:dyDescent="0.25">
      <c r="A11">
        <v>781250</v>
      </c>
      <c r="B11">
        <v>10845</v>
      </c>
      <c r="C11">
        <v>2652</v>
      </c>
      <c r="D11">
        <v>3774</v>
      </c>
      <c r="F11">
        <v>384</v>
      </c>
      <c r="G11">
        <v>23383</v>
      </c>
      <c r="H11">
        <v>24218</v>
      </c>
      <c r="I11">
        <v>23309</v>
      </c>
    </row>
    <row r="12" spans="1:9" x14ac:dyDescent="0.25">
      <c r="A12">
        <v>3906250</v>
      </c>
      <c r="B12">
        <v>59157</v>
      </c>
      <c r="C12">
        <v>14851</v>
      </c>
      <c r="D12">
        <v>21443</v>
      </c>
      <c r="F12">
        <v>768</v>
      </c>
      <c r="G12">
        <v>99340</v>
      </c>
      <c r="H12">
        <v>102932</v>
      </c>
      <c r="I12">
        <v>95020</v>
      </c>
    </row>
    <row r="13" spans="1:9" x14ac:dyDescent="0.25">
      <c r="A13">
        <v>19531250</v>
      </c>
      <c r="B13">
        <v>295102</v>
      </c>
      <c r="C13">
        <v>82286</v>
      </c>
      <c r="D13">
        <v>105727</v>
      </c>
      <c r="G13" t="s">
        <v>4</v>
      </c>
      <c r="H13" t="s">
        <v>4</v>
      </c>
      <c r="I13" t="s">
        <v>4</v>
      </c>
    </row>
    <row r="14" spans="1:9" x14ac:dyDescent="0.25">
      <c r="A14">
        <v>97656250</v>
      </c>
      <c r="B14">
        <v>1778322</v>
      </c>
      <c r="C14">
        <v>390523</v>
      </c>
      <c r="D14">
        <v>493147</v>
      </c>
    </row>
    <row r="15" spans="1:9" x14ac:dyDescent="0.25">
      <c r="B15" t="s">
        <v>4</v>
      </c>
      <c r="C15" t="s">
        <v>4</v>
      </c>
      <c r="D15" t="s">
        <v>4</v>
      </c>
    </row>
    <row r="16" spans="1:9" ht="11.25" customHeight="1" x14ac:dyDescent="0.25"/>
    <row r="17" spans="1:9" x14ac:dyDescent="0.25">
      <c r="A17" t="s">
        <v>6</v>
      </c>
      <c r="F17" t="s">
        <v>10</v>
      </c>
    </row>
    <row r="18" spans="1:9" x14ac:dyDescent="0.25">
      <c r="A18" t="s">
        <v>0</v>
      </c>
      <c r="B18" t="s">
        <v>1</v>
      </c>
      <c r="C18" t="s">
        <v>2</v>
      </c>
      <c r="D18" t="s">
        <v>3</v>
      </c>
      <c r="F18" t="s">
        <v>0</v>
      </c>
      <c r="G18" t="s">
        <v>1</v>
      </c>
      <c r="H18" t="s">
        <v>8</v>
      </c>
      <c r="I18" t="s">
        <v>9</v>
      </c>
    </row>
    <row r="19" spans="1:9" x14ac:dyDescent="0.25">
      <c r="A19">
        <v>10</v>
      </c>
      <c r="F19">
        <v>3</v>
      </c>
      <c r="G19">
        <f t="shared" ref="G19:I27" si="0">G4*10^(-4)</f>
        <v>8.0000000000000004E-4</v>
      </c>
      <c r="H19">
        <f t="shared" si="0"/>
        <v>1.3000000000000002E-3</v>
      </c>
      <c r="I19">
        <f t="shared" si="0"/>
        <v>1.6000000000000001E-3</v>
      </c>
    </row>
    <row r="20" spans="1:9" x14ac:dyDescent="0.25">
      <c r="A20">
        <v>50</v>
      </c>
      <c r="F20">
        <v>6</v>
      </c>
      <c r="G20">
        <f t="shared" si="0"/>
        <v>6.0000000000000006E-4</v>
      </c>
      <c r="H20">
        <f t="shared" si="0"/>
        <v>6.9999999999999999E-4</v>
      </c>
      <c r="I20">
        <f t="shared" si="0"/>
        <v>6.0000000000000006E-4</v>
      </c>
    </row>
    <row r="21" spans="1:9" x14ac:dyDescent="0.25">
      <c r="A21">
        <v>250</v>
      </c>
      <c r="F21">
        <v>12</v>
      </c>
      <c r="G21">
        <f t="shared" si="0"/>
        <v>2.2000000000000001E-3</v>
      </c>
      <c r="H21">
        <f t="shared" si="0"/>
        <v>2.3E-3</v>
      </c>
      <c r="I21">
        <f t="shared" si="0"/>
        <v>2.5000000000000001E-3</v>
      </c>
    </row>
    <row r="22" spans="1:9" x14ac:dyDescent="0.25">
      <c r="A22">
        <v>1250</v>
      </c>
      <c r="F22">
        <v>24</v>
      </c>
      <c r="G22">
        <f t="shared" si="0"/>
        <v>8.3000000000000001E-3</v>
      </c>
      <c r="H22">
        <f t="shared" si="0"/>
        <v>9.9000000000000008E-3</v>
      </c>
      <c r="I22">
        <f t="shared" si="0"/>
        <v>9.6000000000000009E-3</v>
      </c>
    </row>
    <row r="23" spans="1:9" x14ac:dyDescent="0.25">
      <c r="A23">
        <v>6250</v>
      </c>
      <c r="F23">
        <v>48</v>
      </c>
      <c r="G23">
        <f t="shared" si="0"/>
        <v>3.39E-2</v>
      </c>
      <c r="H23">
        <f t="shared" si="0"/>
        <v>3.7000000000000005E-2</v>
      </c>
      <c r="I23">
        <f t="shared" si="0"/>
        <v>3.8200000000000005E-2</v>
      </c>
    </row>
    <row r="24" spans="1:9" x14ac:dyDescent="0.25">
      <c r="A24">
        <v>31250</v>
      </c>
      <c r="B24">
        <f t="shared" ref="B24:D29" si="1">B9*10^(-4)</f>
        <v>4.1200000000000001E-2</v>
      </c>
      <c r="C24">
        <f t="shared" si="1"/>
        <v>0.01</v>
      </c>
      <c r="D24">
        <f t="shared" si="1"/>
        <v>1.2700000000000001E-2</v>
      </c>
      <c r="F24">
        <v>96</v>
      </c>
      <c r="G24">
        <f t="shared" si="0"/>
        <v>0.13639999999999999</v>
      </c>
      <c r="H24">
        <f t="shared" si="0"/>
        <v>0.15510000000000002</v>
      </c>
      <c r="I24">
        <f t="shared" si="0"/>
        <v>0.15190000000000001</v>
      </c>
    </row>
    <row r="25" spans="1:9" x14ac:dyDescent="0.25">
      <c r="A25">
        <v>156250</v>
      </c>
      <c r="B25">
        <f t="shared" si="1"/>
        <v>0.20400000000000001</v>
      </c>
      <c r="C25">
        <f t="shared" si="1"/>
        <v>4.8800000000000003E-2</v>
      </c>
      <c r="D25">
        <f t="shared" si="1"/>
        <v>7.2000000000000008E-2</v>
      </c>
      <c r="F25">
        <v>192</v>
      </c>
      <c r="G25">
        <f t="shared" si="0"/>
        <v>0.5645</v>
      </c>
      <c r="H25">
        <f t="shared" si="0"/>
        <v>0.64760000000000006</v>
      </c>
      <c r="I25">
        <f t="shared" si="0"/>
        <v>0.60809999999999997</v>
      </c>
    </row>
    <row r="26" spans="1:9" x14ac:dyDescent="0.25">
      <c r="A26">
        <v>781250</v>
      </c>
      <c r="B26">
        <f t="shared" si="1"/>
        <v>1.0845</v>
      </c>
      <c r="C26">
        <f t="shared" si="1"/>
        <v>0.26519999999999999</v>
      </c>
      <c r="D26">
        <f t="shared" si="1"/>
        <v>0.37740000000000001</v>
      </c>
      <c r="F26">
        <v>384</v>
      </c>
      <c r="G26">
        <f t="shared" si="0"/>
        <v>2.3383000000000003</v>
      </c>
      <c r="H26">
        <f t="shared" si="0"/>
        <v>2.4218000000000002</v>
      </c>
      <c r="I26">
        <f t="shared" si="0"/>
        <v>2.3309000000000002</v>
      </c>
    </row>
    <row r="27" spans="1:9" x14ac:dyDescent="0.25">
      <c r="A27">
        <v>3906250</v>
      </c>
      <c r="B27">
        <f t="shared" si="1"/>
        <v>5.9157000000000002</v>
      </c>
      <c r="C27">
        <f t="shared" si="1"/>
        <v>1.4851000000000001</v>
      </c>
      <c r="D27">
        <f t="shared" si="1"/>
        <v>2.1443000000000003</v>
      </c>
      <c r="F27">
        <v>768</v>
      </c>
      <c r="G27">
        <f t="shared" si="0"/>
        <v>9.9340000000000011</v>
      </c>
      <c r="H27">
        <f t="shared" si="0"/>
        <v>10.293200000000001</v>
      </c>
      <c r="I27">
        <f t="shared" si="0"/>
        <v>9.5020000000000007</v>
      </c>
    </row>
    <row r="28" spans="1:9" x14ac:dyDescent="0.25">
      <c r="A28">
        <v>19531250</v>
      </c>
      <c r="B28">
        <f t="shared" si="1"/>
        <v>29.510200000000001</v>
      </c>
      <c r="C28">
        <f t="shared" si="1"/>
        <v>8.2286000000000001</v>
      </c>
      <c r="D28">
        <f t="shared" si="1"/>
        <v>10.572700000000001</v>
      </c>
    </row>
    <row r="29" spans="1:9" x14ac:dyDescent="0.25">
      <c r="A29">
        <v>97656250</v>
      </c>
      <c r="B29">
        <f t="shared" si="1"/>
        <v>177.8322</v>
      </c>
      <c r="C29">
        <f t="shared" si="1"/>
        <v>39.052300000000002</v>
      </c>
      <c r="D29">
        <f t="shared" si="1"/>
        <v>49.314700000000002</v>
      </c>
    </row>
    <row r="31" spans="1:9" x14ac:dyDescent="0.25">
      <c r="B31" s="8" t="s">
        <v>13</v>
      </c>
      <c r="C31" s="8"/>
      <c r="D31" s="8"/>
      <c r="G31" s="8" t="s">
        <v>13</v>
      </c>
      <c r="H31" s="8"/>
      <c r="I31" s="8"/>
    </row>
    <row r="32" spans="1:9" x14ac:dyDescent="0.25">
      <c r="A32" t="s">
        <v>5</v>
      </c>
      <c r="F32" t="s">
        <v>17</v>
      </c>
    </row>
    <row r="33" spans="1:10" x14ac:dyDescent="0.25">
      <c r="A33" t="s">
        <v>14</v>
      </c>
      <c r="B33" t="s">
        <v>15</v>
      </c>
      <c r="C33" t="s">
        <v>16</v>
      </c>
      <c r="F33" t="s">
        <v>18</v>
      </c>
      <c r="G33" t="s">
        <v>19</v>
      </c>
      <c r="H33" t="s">
        <v>20</v>
      </c>
    </row>
    <row r="34" spans="1:10" x14ac:dyDescent="0.25">
      <c r="A34">
        <f>B24</f>
        <v>4.1200000000000001E-2</v>
      </c>
      <c r="B34">
        <f t="shared" ref="B34:C34" si="2">C24</f>
        <v>0.01</v>
      </c>
      <c r="C34">
        <f t="shared" si="2"/>
        <v>1.2700000000000001E-2</v>
      </c>
      <c r="F34">
        <f>G19</f>
        <v>8.0000000000000004E-4</v>
      </c>
      <c r="G34">
        <f>H19</f>
        <v>1.3000000000000002E-3</v>
      </c>
      <c r="H34">
        <f>I19</f>
        <v>1.6000000000000001E-3</v>
      </c>
    </row>
    <row r="35" spans="1:10" x14ac:dyDescent="0.25">
      <c r="A35">
        <f>$A25/$A24*B24</f>
        <v>0.20600000000000002</v>
      </c>
      <c r="B35">
        <f t="shared" ref="B35:C35" si="3">$A25/$A24*C24</f>
        <v>0.05</v>
      </c>
      <c r="C35">
        <f t="shared" si="3"/>
        <v>6.3500000000000001E-2</v>
      </c>
      <c r="F35">
        <f>$F20^2/$F19^2*G19</f>
        <v>3.2000000000000002E-3</v>
      </c>
      <c r="G35">
        <f t="shared" ref="G35:H35" si="4">$F20^2/$F19^2*H19</f>
        <v>5.2000000000000006E-3</v>
      </c>
      <c r="H35">
        <f t="shared" si="4"/>
        <v>6.4000000000000003E-3</v>
      </c>
      <c r="I35" t="s">
        <v>21</v>
      </c>
    </row>
    <row r="36" spans="1:10" x14ac:dyDescent="0.25">
      <c r="A36">
        <f t="shared" ref="A36:A39" si="5">A26/A25*B25</f>
        <v>1.02</v>
      </c>
      <c r="B36">
        <f t="shared" ref="B36:C36" si="6">$A26/$A25*C25</f>
        <v>0.24400000000000002</v>
      </c>
      <c r="C36">
        <f t="shared" si="6"/>
        <v>0.36000000000000004</v>
      </c>
      <c r="F36">
        <f t="shared" ref="F36:F42" si="7">F21^2/F20^2*G20</f>
        <v>2.4000000000000002E-3</v>
      </c>
      <c r="G36">
        <f t="shared" ref="G36:H36" si="8">$F21^2/$F20^2*H20</f>
        <v>2.8E-3</v>
      </c>
      <c r="H36">
        <f t="shared" si="8"/>
        <v>2.4000000000000002E-3</v>
      </c>
    </row>
    <row r="37" spans="1:10" x14ac:dyDescent="0.25">
      <c r="A37">
        <f t="shared" si="5"/>
        <v>5.4225000000000003</v>
      </c>
      <c r="B37">
        <f t="shared" ref="B37:C37" si="9">$A27/$A26*C26</f>
        <v>1.3260000000000001</v>
      </c>
      <c r="C37">
        <f t="shared" si="9"/>
        <v>1.887</v>
      </c>
      <c r="F37">
        <f t="shared" si="7"/>
        <v>8.8000000000000005E-3</v>
      </c>
      <c r="G37">
        <f t="shared" ref="G37:H37" si="10">$F22^2/$F21^2*H21</f>
        <v>9.1999999999999998E-3</v>
      </c>
      <c r="H37">
        <f t="shared" si="10"/>
        <v>0.01</v>
      </c>
    </row>
    <row r="38" spans="1:10" x14ac:dyDescent="0.25">
      <c r="A38">
        <f t="shared" si="5"/>
        <v>29.578500000000002</v>
      </c>
      <c r="B38">
        <f t="shared" ref="B38" si="11">$A28/$A27*C27</f>
        <v>7.4255000000000004</v>
      </c>
      <c r="C38">
        <f>$A28/$A27*D27</f>
        <v>10.721500000000002</v>
      </c>
      <c r="F38">
        <f t="shared" si="7"/>
        <v>3.32E-2</v>
      </c>
      <c r="G38">
        <f t="shared" ref="G38:H38" si="12">$F23^2/$F22^2*H22</f>
        <v>3.9600000000000003E-2</v>
      </c>
      <c r="H38">
        <f t="shared" si="12"/>
        <v>3.8400000000000004E-2</v>
      </c>
    </row>
    <row r="39" spans="1:10" x14ac:dyDescent="0.25">
      <c r="A39">
        <f t="shared" si="5"/>
        <v>147.55100000000002</v>
      </c>
      <c r="B39">
        <f t="shared" ref="B39" si="13">$A29/$A28*C28</f>
        <v>41.143000000000001</v>
      </c>
      <c r="C39">
        <f>$A29/$A28*D28</f>
        <v>52.863500000000002</v>
      </c>
      <c r="F39">
        <f t="shared" si="7"/>
        <v>0.1356</v>
      </c>
      <c r="G39">
        <f t="shared" ref="G39:H39" si="14">$F24^2/$F23^2*H23</f>
        <v>0.14800000000000002</v>
      </c>
      <c r="H39">
        <f t="shared" si="14"/>
        <v>0.15280000000000002</v>
      </c>
    </row>
    <row r="40" spans="1:10" x14ac:dyDescent="0.25">
      <c r="F40">
        <f t="shared" si="7"/>
        <v>0.54559999999999997</v>
      </c>
      <c r="G40">
        <f t="shared" ref="G40:H40" si="15">$F25^2/$F24^2*H24</f>
        <v>0.62040000000000006</v>
      </c>
      <c r="H40">
        <f t="shared" si="15"/>
        <v>0.60760000000000003</v>
      </c>
    </row>
    <row r="41" spans="1:10" x14ac:dyDescent="0.25">
      <c r="F41">
        <f t="shared" si="7"/>
        <v>2.258</v>
      </c>
      <c r="G41">
        <f t="shared" ref="G41:H41" si="16">$F26^2/$F25^2*H25</f>
        <v>2.5904000000000003</v>
      </c>
      <c r="H41">
        <f t="shared" si="16"/>
        <v>2.4323999999999999</v>
      </c>
    </row>
    <row r="42" spans="1:10" x14ac:dyDescent="0.25">
      <c r="F42">
        <f t="shared" si="7"/>
        <v>9.3532000000000011</v>
      </c>
      <c r="G42">
        <f t="shared" ref="G42:H42" si="17">$F27^2/$F26^2*H26</f>
        <v>9.6872000000000007</v>
      </c>
      <c r="H42">
        <f t="shared" si="17"/>
        <v>9.3236000000000008</v>
      </c>
    </row>
    <row r="46" spans="1:10" x14ac:dyDescent="0.25">
      <c r="A46" t="s">
        <v>11</v>
      </c>
    </row>
    <row r="47" spans="1:10" x14ac:dyDescent="0.25">
      <c r="A47" s="11" t="s">
        <v>22</v>
      </c>
      <c r="B47" s="11"/>
      <c r="C47" s="11"/>
      <c r="D47" s="11"/>
      <c r="E47" s="11"/>
      <c r="F47" s="11"/>
      <c r="G47" s="11"/>
      <c r="H47" s="11"/>
      <c r="I47" s="11"/>
    </row>
    <row r="48" spans="1:10" x14ac:dyDescent="0.25">
      <c r="A48" s="3" t="s">
        <v>23</v>
      </c>
      <c r="B48" s="3"/>
      <c r="C48" s="3"/>
      <c r="D48" s="3"/>
      <c r="E48" s="3"/>
      <c r="F48" s="3"/>
      <c r="G48" s="3"/>
      <c r="H48" s="3"/>
      <c r="I48" s="1"/>
      <c r="J48" s="1"/>
    </row>
    <row r="50" spans="1:12" x14ac:dyDescent="0.25">
      <c r="A50" t="s">
        <v>12</v>
      </c>
    </row>
    <row r="51" spans="1:12" ht="19.5" customHeight="1" x14ac:dyDescent="0.25">
      <c r="A51" s="10" t="s">
        <v>25</v>
      </c>
      <c r="B51" s="10"/>
      <c r="C51" s="10"/>
      <c r="D51" s="10"/>
      <c r="E51" s="10"/>
      <c r="F51" s="10"/>
      <c r="G51" s="10"/>
      <c r="H51" s="10"/>
      <c r="I51" s="10"/>
      <c r="L51" s="4" t="s">
        <v>24</v>
      </c>
    </row>
    <row r="52" spans="1:12" x14ac:dyDescent="0.25">
      <c r="A52" s="10" t="s">
        <v>26</v>
      </c>
      <c r="B52" s="10"/>
      <c r="C52" s="10"/>
      <c r="D52" s="10"/>
      <c r="E52" s="10"/>
      <c r="F52" s="10"/>
      <c r="G52" s="10"/>
      <c r="H52" s="10"/>
      <c r="I52" s="10"/>
    </row>
    <row r="54" spans="1:12" ht="28.5" x14ac:dyDescent="0.45">
      <c r="A54" s="7" t="s">
        <v>27</v>
      </c>
    </row>
    <row r="56" spans="1:12" x14ac:dyDescent="0.25">
      <c r="A56" s="2"/>
      <c r="B56" s="2" t="s">
        <v>28</v>
      </c>
      <c r="C56" s="2" t="s">
        <v>29</v>
      </c>
      <c r="D56" s="2" t="s">
        <v>30</v>
      </c>
      <c r="E56" s="2"/>
      <c r="F56" s="2"/>
      <c r="G56" s="2" t="s">
        <v>31</v>
      </c>
      <c r="H56" s="2" t="s">
        <v>32</v>
      </c>
      <c r="I56" s="2"/>
      <c r="J56" s="2"/>
      <c r="K56" s="2"/>
      <c r="L56" s="2"/>
    </row>
    <row r="57" spans="1:12" x14ac:dyDescent="0.25">
      <c r="A57" s="2">
        <v>8</v>
      </c>
      <c r="B57" s="2">
        <f>78*(10^-8)</f>
        <v>7.8000000000000005E-7</v>
      </c>
      <c r="C57" s="2">
        <f>46*(10^-8)</f>
        <v>4.5999999999999999E-7</v>
      </c>
      <c r="D57" s="2">
        <f>B57/C57</f>
        <v>1.6956521739130437</v>
      </c>
      <c r="E57" s="2"/>
      <c r="F57" s="2"/>
      <c r="G57" s="2">
        <f>B57</f>
        <v>7.8000000000000005E-7</v>
      </c>
      <c r="H57" s="2">
        <f>C57</f>
        <v>4.5999999999999999E-7</v>
      </c>
      <c r="I57" s="2"/>
      <c r="J57" s="2"/>
      <c r="K57" s="2"/>
      <c r="L57" s="2"/>
    </row>
    <row r="58" spans="1:12" x14ac:dyDescent="0.25">
      <c r="A58" s="2">
        <f t="shared" ref="A58:A70" si="18">A57*2</f>
        <v>16</v>
      </c>
      <c r="B58" s="2">
        <f>312*(10^-8)</f>
        <v>3.1200000000000002E-6</v>
      </c>
      <c r="C58" s="2">
        <f>172*(10^-8)</f>
        <v>1.72E-6</v>
      </c>
      <c r="D58" s="2">
        <f t="shared" ref="D58:D70" si="19">B58/C58</f>
        <v>1.8139534883720931</v>
      </c>
      <c r="E58" s="2"/>
      <c r="F58" s="2"/>
      <c r="G58" s="2">
        <f t="shared" ref="G58:G70" si="20">A58^2/A57^2 *B57</f>
        <v>3.1200000000000002E-6</v>
      </c>
      <c r="H58" s="2">
        <f>A58^2/A57^2 *C57</f>
        <v>1.84E-6</v>
      </c>
      <c r="I58" s="2"/>
      <c r="J58" s="2"/>
      <c r="K58" s="2"/>
      <c r="L58" s="2"/>
    </row>
    <row r="59" spans="1:12" x14ac:dyDescent="0.25">
      <c r="A59" s="2">
        <f t="shared" si="18"/>
        <v>32</v>
      </c>
      <c r="B59" s="2">
        <f>125*(10^-7)</f>
        <v>1.2499999999999999E-5</v>
      </c>
      <c r="C59" s="2">
        <f>62*(10^-7)</f>
        <v>6.1999999999999999E-6</v>
      </c>
      <c r="D59" s="2">
        <f t="shared" si="19"/>
        <v>2.0161290322580645</v>
      </c>
      <c r="E59" s="2"/>
      <c r="F59" s="2"/>
      <c r="G59" s="2">
        <f t="shared" si="20"/>
        <v>1.2480000000000001E-5</v>
      </c>
      <c r="H59" s="2">
        <f t="shared" ref="H59:H70" si="21">A59^2/A58^2 *C58</f>
        <v>6.8800000000000002E-6</v>
      </c>
      <c r="I59" s="2"/>
      <c r="J59" s="2"/>
      <c r="K59" s="2"/>
      <c r="L59" s="2"/>
    </row>
    <row r="60" spans="1:12" x14ac:dyDescent="0.25">
      <c r="A60" s="2">
        <f t="shared" si="18"/>
        <v>64</v>
      </c>
      <c r="B60" s="2">
        <f>63*(10^-6)</f>
        <v>6.3E-5</v>
      </c>
      <c r="C60" s="2">
        <f>250*(10^-7)</f>
        <v>2.4999999999999998E-5</v>
      </c>
      <c r="D60" s="2">
        <f t="shared" si="19"/>
        <v>2.52</v>
      </c>
      <c r="E60" s="2"/>
      <c r="F60" s="2"/>
      <c r="G60" s="2">
        <f t="shared" si="20"/>
        <v>4.9999999999999996E-5</v>
      </c>
      <c r="H60" s="2">
        <f t="shared" si="21"/>
        <v>2.48E-5</v>
      </c>
      <c r="I60" s="2"/>
      <c r="J60" s="2"/>
      <c r="K60" s="2"/>
      <c r="L60" s="2"/>
    </row>
    <row r="61" spans="1:12" x14ac:dyDescent="0.25">
      <c r="A61" s="2">
        <f t="shared" si="18"/>
        <v>128</v>
      </c>
      <c r="B61" s="2">
        <f>187*(10^-6)</f>
        <v>1.8699999999999999E-4</v>
      </c>
      <c r="C61" s="2">
        <f>94*(10^-6)</f>
        <v>9.3999999999999994E-5</v>
      </c>
      <c r="D61" s="2">
        <f t="shared" si="19"/>
        <v>1.9893617021276595</v>
      </c>
      <c r="E61" s="2"/>
      <c r="F61" s="2"/>
      <c r="G61" s="2">
        <f t="shared" si="20"/>
        <v>2.52E-4</v>
      </c>
      <c r="H61" s="2">
        <f t="shared" si="21"/>
        <v>9.9999999999999991E-5</v>
      </c>
      <c r="I61" s="2"/>
      <c r="J61" s="2"/>
      <c r="K61" s="2"/>
      <c r="L61" s="2"/>
    </row>
    <row r="62" spans="1:12" x14ac:dyDescent="0.25">
      <c r="A62" s="2">
        <f t="shared" si="18"/>
        <v>256</v>
      </c>
      <c r="B62" s="2">
        <f>78*(10^-5)</f>
        <v>7.8000000000000009E-4</v>
      </c>
      <c r="C62" s="2">
        <f>390*(10^-6)</f>
        <v>3.8999999999999999E-4</v>
      </c>
      <c r="D62" s="2">
        <f t="shared" si="19"/>
        <v>2.0000000000000004</v>
      </c>
      <c r="E62" s="2"/>
      <c r="F62" s="2"/>
      <c r="G62" s="2">
        <f t="shared" si="20"/>
        <v>7.4799999999999997E-4</v>
      </c>
      <c r="H62" s="2">
        <f t="shared" si="21"/>
        <v>3.7599999999999998E-4</v>
      </c>
      <c r="I62" s="2"/>
      <c r="J62" s="2"/>
      <c r="K62" s="2"/>
      <c r="L62" s="2"/>
    </row>
    <row r="63" spans="1:12" x14ac:dyDescent="0.25">
      <c r="A63" s="2">
        <f t="shared" si="18"/>
        <v>512</v>
      </c>
      <c r="B63" s="2">
        <f>297*(10^-5)</f>
        <v>2.9700000000000004E-3</v>
      </c>
      <c r="C63" s="2">
        <f>156*(10^-5)</f>
        <v>1.5600000000000002E-3</v>
      </c>
      <c r="D63" s="2">
        <f t="shared" si="19"/>
        <v>1.903846153846154</v>
      </c>
      <c r="E63" s="2"/>
      <c r="F63" s="2"/>
      <c r="G63" s="2">
        <f t="shared" si="20"/>
        <v>3.1200000000000004E-3</v>
      </c>
      <c r="H63" s="2">
        <f t="shared" si="21"/>
        <v>1.56E-3</v>
      </c>
      <c r="I63" s="2"/>
      <c r="J63" s="2"/>
      <c r="K63" s="2"/>
      <c r="L63" s="2"/>
    </row>
    <row r="64" spans="1:12" x14ac:dyDescent="0.25">
      <c r="A64" s="2">
        <f t="shared" si="18"/>
        <v>1024</v>
      </c>
      <c r="B64" s="2">
        <f>125*(10^-4)</f>
        <v>1.2500000000000001E-2</v>
      </c>
      <c r="C64" s="2">
        <f>62*(10^-4)</f>
        <v>6.2000000000000006E-3</v>
      </c>
      <c r="D64" s="2">
        <f t="shared" si="19"/>
        <v>2.0161290322580645</v>
      </c>
      <c r="E64" s="2"/>
      <c r="F64" s="2"/>
      <c r="G64" s="2">
        <f t="shared" si="20"/>
        <v>1.1880000000000002E-2</v>
      </c>
      <c r="H64" s="2">
        <f t="shared" si="21"/>
        <v>6.2400000000000008E-3</v>
      </c>
      <c r="I64" s="2"/>
      <c r="J64" s="2"/>
      <c r="K64" s="2"/>
      <c r="L64" s="2"/>
    </row>
    <row r="65" spans="1:12" x14ac:dyDescent="0.25">
      <c r="A65" s="2">
        <f t="shared" si="18"/>
        <v>2048</v>
      </c>
      <c r="B65" s="2">
        <f>48*(10^-3)</f>
        <v>4.8000000000000001E-2</v>
      </c>
      <c r="C65" s="2">
        <f>250*(10^-4)</f>
        <v>2.5000000000000001E-2</v>
      </c>
      <c r="D65" s="2">
        <f t="shared" si="19"/>
        <v>1.92</v>
      </c>
      <c r="E65" s="2"/>
      <c r="F65" s="2"/>
      <c r="G65" s="2">
        <f t="shared" si="20"/>
        <v>0.05</v>
      </c>
      <c r="H65" s="2">
        <f t="shared" si="21"/>
        <v>2.4800000000000003E-2</v>
      </c>
      <c r="I65" s="2"/>
      <c r="J65" s="2"/>
      <c r="K65" s="2"/>
      <c r="L65" s="2"/>
    </row>
    <row r="66" spans="1:12" x14ac:dyDescent="0.25">
      <c r="A66" s="2">
        <f t="shared" si="18"/>
        <v>4096</v>
      </c>
      <c r="B66" s="2">
        <f>203*(10^-3)</f>
        <v>0.20300000000000001</v>
      </c>
      <c r="C66" s="2">
        <f>93*(10^-3)</f>
        <v>9.2999999999999999E-2</v>
      </c>
      <c r="D66" s="2">
        <f t="shared" si="19"/>
        <v>2.1827956989247315</v>
      </c>
      <c r="E66" s="2"/>
      <c r="F66" s="2"/>
      <c r="G66" s="2">
        <f t="shared" si="20"/>
        <v>0.192</v>
      </c>
      <c r="H66" s="2">
        <f t="shared" si="21"/>
        <v>0.1</v>
      </c>
      <c r="I66" s="2"/>
      <c r="J66" s="2"/>
      <c r="K66" s="2"/>
      <c r="L66" s="2"/>
    </row>
    <row r="67" spans="1:12" x14ac:dyDescent="0.25">
      <c r="A67" s="2">
        <f t="shared" si="18"/>
        <v>8192</v>
      </c>
      <c r="B67" s="2">
        <f>811*(10^-3)</f>
        <v>0.81100000000000005</v>
      </c>
      <c r="C67" s="2">
        <f>406*(10^-3)</f>
        <v>0.40600000000000003</v>
      </c>
      <c r="D67" s="2">
        <f t="shared" si="19"/>
        <v>1.9975369458128078</v>
      </c>
      <c r="E67" s="2"/>
      <c r="F67" s="2"/>
      <c r="G67" s="2">
        <f t="shared" si="20"/>
        <v>0.81200000000000006</v>
      </c>
      <c r="H67" s="2">
        <f t="shared" si="21"/>
        <v>0.372</v>
      </c>
      <c r="I67" s="2"/>
      <c r="J67" s="2"/>
      <c r="K67" s="2"/>
      <c r="L67" s="2"/>
    </row>
    <row r="68" spans="1:12" x14ac:dyDescent="0.25">
      <c r="A68" s="2">
        <f t="shared" si="18"/>
        <v>16384</v>
      </c>
      <c r="B68" s="2">
        <f>3199*(10^-3)</f>
        <v>3.1990000000000003</v>
      </c>
      <c r="C68" s="2">
        <f>1622*(10^-3)</f>
        <v>1.6220000000000001</v>
      </c>
      <c r="D68" s="2">
        <f t="shared" si="19"/>
        <v>1.9722564734895192</v>
      </c>
      <c r="E68" s="2"/>
      <c r="F68" s="2"/>
      <c r="G68" s="2">
        <f t="shared" si="20"/>
        <v>3.2440000000000002</v>
      </c>
      <c r="H68" s="2">
        <f t="shared" si="21"/>
        <v>1.6240000000000001</v>
      </c>
      <c r="I68" s="2"/>
      <c r="J68" s="2"/>
      <c r="K68" s="2"/>
      <c r="L68" s="2"/>
    </row>
    <row r="69" spans="1:12" x14ac:dyDescent="0.25">
      <c r="A69" s="2">
        <f t="shared" si="18"/>
        <v>32768</v>
      </c>
      <c r="B69" s="2">
        <f>12730*(10^-3)</f>
        <v>12.73</v>
      </c>
      <c r="C69" s="2">
        <f>6383*(10^-3)</f>
        <v>6.383</v>
      </c>
      <c r="D69" s="2">
        <f t="shared" si="19"/>
        <v>1.9943600187999373</v>
      </c>
      <c r="E69" s="2"/>
      <c r="F69" s="2"/>
      <c r="G69" s="2">
        <f t="shared" si="20"/>
        <v>12.796000000000001</v>
      </c>
      <c r="H69" s="2">
        <f t="shared" si="21"/>
        <v>6.4880000000000004</v>
      </c>
      <c r="I69" s="2"/>
      <c r="J69" s="2"/>
      <c r="K69" s="2"/>
      <c r="L69" s="2"/>
    </row>
    <row r="70" spans="1:12" x14ac:dyDescent="0.25">
      <c r="A70" s="2">
        <f t="shared" si="18"/>
        <v>65536</v>
      </c>
      <c r="B70" s="2">
        <f>50982*(10^-3)</f>
        <v>50.981999999999999</v>
      </c>
      <c r="C70" s="2">
        <f>25523*(10^-3)</f>
        <v>25.523</v>
      </c>
      <c r="D70" s="2">
        <f t="shared" si="19"/>
        <v>1.9974924577831759</v>
      </c>
      <c r="E70" s="2"/>
      <c r="F70" s="2"/>
      <c r="G70" s="2">
        <f t="shared" si="20"/>
        <v>50.92</v>
      </c>
      <c r="H70" s="2">
        <f t="shared" si="21"/>
        <v>25.532</v>
      </c>
      <c r="I70" s="2"/>
      <c r="J70" s="2"/>
      <c r="K70" s="2"/>
      <c r="L70" s="2"/>
    </row>
    <row r="71" spans="1:12" x14ac:dyDescent="0.25">
      <c r="A71" s="3" t="s">
        <v>33</v>
      </c>
      <c r="B71" s="3"/>
      <c r="C71" s="3"/>
      <c r="D71" s="3"/>
      <c r="E71" s="2"/>
      <c r="F71" s="2"/>
      <c r="G71" s="8" t="s">
        <v>34</v>
      </c>
      <c r="H71" s="8"/>
      <c r="I71" s="2"/>
      <c r="J71" s="2"/>
      <c r="K71" s="2"/>
      <c r="L71" s="2"/>
    </row>
    <row r="72" spans="1:12" ht="202.5" customHeight="1" x14ac:dyDescent="0.25">
      <c r="A72" s="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</row>
    <row r="73" spans="1:12" x14ac:dyDescent="0.25">
      <c r="A73" s="2"/>
      <c r="B73" s="2" t="s">
        <v>28</v>
      </c>
      <c r="C73" s="2" t="s">
        <v>35</v>
      </c>
      <c r="D73" s="2" t="s">
        <v>36</v>
      </c>
      <c r="E73" s="2"/>
      <c r="F73" s="2"/>
      <c r="G73" s="2" t="s">
        <v>31</v>
      </c>
      <c r="H73" s="2" t="s">
        <v>37</v>
      </c>
      <c r="I73" s="2"/>
      <c r="J73" s="2"/>
      <c r="K73" s="2"/>
      <c r="L73" s="2"/>
    </row>
    <row r="74" spans="1:12" x14ac:dyDescent="0.25">
      <c r="A74" s="2">
        <v>8</v>
      </c>
      <c r="B74" s="2">
        <f>78*(10^-8)</f>
        <v>7.8000000000000005E-7</v>
      </c>
      <c r="C74" s="2">
        <f>47*(10^-8)</f>
        <v>4.7E-7</v>
      </c>
      <c r="D74" s="2">
        <f>C74/B74</f>
        <v>0.60256410256410253</v>
      </c>
      <c r="E74" s="2"/>
      <c r="F74" s="2"/>
      <c r="G74" s="2">
        <f>B74</f>
        <v>7.8000000000000005E-7</v>
      </c>
      <c r="H74" s="6">
        <f>C74</f>
        <v>4.7E-7</v>
      </c>
      <c r="I74" s="2"/>
      <c r="J74" s="2"/>
      <c r="K74" s="2"/>
      <c r="L74" s="2"/>
    </row>
    <row r="75" spans="1:12" x14ac:dyDescent="0.25">
      <c r="A75" s="2">
        <f t="shared" ref="A75:A87" si="22">A74*2</f>
        <v>16</v>
      </c>
      <c r="B75" s="2">
        <f>312*(10^-8)</f>
        <v>3.1200000000000002E-6</v>
      </c>
      <c r="C75" s="2">
        <f>93*(10^-8)</f>
        <v>9.2999999999999999E-7</v>
      </c>
      <c r="D75" s="2">
        <f t="shared" ref="D75:D87" si="23">C75/B75</f>
        <v>0.29807692307692307</v>
      </c>
      <c r="E75" s="2"/>
      <c r="F75" s="2"/>
      <c r="G75" s="2">
        <f>A75^2/A74^2*B74</f>
        <v>3.1200000000000002E-6</v>
      </c>
      <c r="H75" s="6">
        <f>A75/A74*LOG10(A75)/LOG10(A74)*C74</f>
        <v>1.2533333333333335E-6</v>
      </c>
      <c r="I75" s="2"/>
      <c r="J75" s="2"/>
      <c r="K75" s="2"/>
      <c r="L75" s="2"/>
    </row>
    <row r="76" spans="1:12" x14ac:dyDescent="0.25">
      <c r="A76" s="2">
        <f t="shared" si="22"/>
        <v>32</v>
      </c>
      <c r="B76" s="2">
        <f>125*(10^-7)</f>
        <v>1.2499999999999999E-5</v>
      </c>
      <c r="C76" s="2">
        <f>234*(10^-8)</f>
        <v>2.34E-6</v>
      </c>
      <c r="D76" s="2">
        <f t="shared" si="23"/>
        <v>0.18720000000000003</v>
      </c>
      <c r="E76" s="2"/>
      <c r="F76" s="2"/>
      <c r="G76" s="2">
        <f t="shared" ref="G76:G87" si="24">A76^2/A75^2 *B75</f>
        <v>1.2480000000000001E-5</v>
      </c>
      <c r="H76" s="6">
        <f t="shared" ref="H76:H87" si="25">A76/A75*LOG10(A76)/LOG10(A75)*C75</f>
        <v>2.3249999999999998E-6</v>
      </c>
      <c r="I76" s="2"/>
      <c r="J76" s="2"/>
      <c r="K76" s="2"/>
      <c r="L76" s="2"/>
    </row>
    <row r="77" spans="1:12" x14ac:dyDescent="0.25">
      <c r="A77" s="2">
        <f t="shared" si="22"/>
        <v>64</v>
      </c>
      <c r="B77" s="2">
        <f>63*(10^-6)</f>
        <v>6.3E-5</v>
      </c>
      <c r="C77" s="2">
        <f>531*(10^-8)</f>
        <v>5.31E-6</v>
      </c>
      <c r="D77" s="2">
        <f t="shared" si="23"/>
        <v>8.4285714285714283E-2</v>
      </c>
      <c r="E77" s="2"/>
      <c r="F77" s="2"/>
      <c r="G77" s="2">
        <f t="shared" si="24"/>
        <v>4.9999999999999996E-5</v>
      </c>
      <c r="H77" s="6">
        <f t="shared" si="25"/>
        <v>5.6160000000000001E-6</v>
      </c>
      <c r="I77" s="2"/>
      <c r="J77" s="2"/>
      <c r="K77" s="2"/>
      <c r="L77" s="2"/>
    </row>
    <row r="78" spans="1:12" x14ac:dyDescent="0.25">
      <c r="A78" s="2">
        <f t="shared" si="22"/>
        <v>128</v>
      </c>
      <c r="B78" s="2">
        <f>187*(10^-6)</f>
        <v>1.8699999999999999E-4</v>
      </c>
      <c r="C78" s="2">
        <f>1233*(10^-8)</f>
        <v>1.2330000000000001E-5</v>
      </c>
      <c r="D78" s="2">
        <f t="shared" si="23"/>
        <v>6.5935828877005359E-2</v>
      </c>
      <c r="E78" s="2"/>
      <c r="F78" s="2"/>
      <c r="G78" s="2">
        <f t="shared" si="24"/>
        <v>2.52E-4</v>
      </c>
      <c r="H78" s="6">
        <f t="shared" si="25"/>
        <v>1.239E-5</v>
      </c>
      <c r="I78" s="2"/>
      <c r="J78" s="2"/>
      <c r="K78" s="2"/>
      <c r="L78" s="2"/>
    </row>
    <row r="79" spans="1:12" x14ac:dyDescent="0.25">
      <c r="A79" s="2">
        <f t="shared" si="22"/>
        <v>256</v>
      </c>
      <c r="B79" s="2">
        <f>78*(10^-5)</f>
        <v>7.8000000000000009E-4</v>
      </c>
      <c r="C79" s="2">
        <f>2731*(10^-8)</f>
        <v>2.7310000000000001E-5</v>
      </c>
      <c r="D79" s="2">
        <f t="shared" si="23"/>
        <v>3.5012820512820508E-2</v>
      </c>
      <c r="E79" s="2"/>
      <c r="F79" s="2"/>
      <c r="G79" s="2">
        <f t="shared" si="24"/>
        <v>7.4799999999999997E-4</v>
      </c>
      <c r="H79" s="6">
        <f t="shared" si="25"/>
        <v>2.8182857142857141E-5</v>
      </c>
      <c r="I79" s="2"/>
      <c r="J79" s="2"/>
      <c r="K79" s="2"/>
      <c r="L79" s="2"/>
    </row>
    <row r="80" spans="1:12" x14ac:dyDescent="0.25">
      <c r="A80" s="2">
        <f t="shared" si="22"/>
        <v>512</v>
      </c>
      <c r="B80" s="2">
        <f>297*(10^-5)</f>
        <v>2.9700000000000004E-3</v>
      </c>
      <c r="C80" s="2">
        <f>62*(10^-6)</f>
        <v>6.2000000000000003E-5</v>
      </c>
      <c r="D80" s="2">
        <f t="shared" si="23"/>
        <v>2.0875420875420873E-2</v>
      </c>
      <c r="E80" s="2"/>
      <c r="F80" s="2"/>
      <c r="G80" s="2">
        <f t="shared" si="24"/>
        <v>3.1200000000000004E-3</v>
      </c>
      <c r="H80" s="6">
        <f>A80/A79*LOG10(A80)/LOG10(A79)*C79</f>
        <v>6.1447500000000004E-5</v>
      </c>
      <c r="I80" s="2"/>
      <c r="J80" s="2"/>
      <c r="K80" s="2"/>
      <c r="L80" s="2"/>
    </row>
    <row r="81" spans="1:12" x14ac:dyDescent="0.25">
      <c r="A81" s="2">
        <f t="shared" si="22"/>
        <v>1024</v>
      </c>
      <c r="B81" s="2">
        <f>125*(10^-4)</f>
        <v>1.2500000000000001E-2</v>
      </c>
      <c r="C81" s="2">
        <f>125*(10^-6)</f>
        <v>1.25E-4</v>
      </c>
      <c r="D81" s="2">
        <f t="shared" si="23"/>
        <v>0.01</v>
      </c>
      <c r="E81" s="2"/>
      <c r="F81" s="2"/>
      <c r="G81" s="2">
        <f t="shared" si="24"/>
        <v>1.1880000000000002E-2</v>
      </c>
      <c r="H81" s="6">
        <f t="shared" si="25"/>
        <v>1.3777777777777779E-4</v>
      </c>
      <c r="I81" s="2"/>
      <c r="J81" s="2"/>
      <c r="K81" s="2"/>
      <c r="L81" s="2"/>
    </row>
    <row r="82" spans="1:12" x14ac:dyDescent="0.25">
      <c r="A82" s="2">
        <f t="shared" si="22"/>
        <v>2048</v>
      </c>
      <c r="B82" s="2">
        <f>48*(10^-3)</f>
        <v>4.8000000000000001E-2</v>
      </c>
      <c r="C82" s="2">
        <f>296*(10^-6)</f>
        <v>2.9599999999999998E-4</v>
      </c>
      <c r="D82" s="2">
        <f t="shared" si="23"/>
        <v>6.1666666666666667E-3</v>
      </c>
      <c r="E82" s="2"/>
      <c r="F82" s="2"/>
      <c r="G82" s="2">
        <f t="shared" si="24"/>
        <v>0.05</v>
      </c>
      <c r="H82" s="6">
        <f t="shared" si="25"/>
        <v>2.7500000000000002E-4</v>
      </c>
      <c r="I82" s="2"/>
      <c r="J82" s="2"/>
      <c r="K82" s="2"/>
      <c r="L82" s="2"/>
    </row>
    <row r="83" spans="1:12" x14ac:dyDescent="0.25">
      <c r="A83" s="2">
        <f t="shared" si="22"/>
        <v>4096</v>
      </c>
      <c r="B83" s="2">
        <f>203*(10^-3)</f>
        <v>0.20300000000000001</v>
      </c>
      <c r="C83" s="2">
        <f>624*(10^-6)</f>
        <v>6.2399999999999999E-4</v>
      </c>
      <c r="D83" s="2">
        <f t="shared" si="23"/>
        <v>3.0738916256157632E-3</v>
      </c>
      <c r="E83" s="2"/>
      <c r="F83" s="2"/>
      <c r="G83" s="2">
        <f t="shared" si="24"/>
        <v>0.192</v>
      </c>
      <c r="H83" s="6">
        <f t="shared" si="25"/>
        <v>6.4581818181818176E-4</v>
      </c>
      <c r="I83" s="2"/>
      <c r="J83" s="2"/>
      <c r="K83" s="2"/>
      <c r="L83" s="2"/>
    </row>
    <row r="84" spans="1:12" x14ac:dyDescent="0.25">
      <c r="A84" s="2">
        <f t="shared" si="22"/>
        <v>8192</v>
      </c>
      <c r="B84" s="2">
        <f>811*(10^-3)</f>
        <v>0.81100000000000005</v>
      </c>
      <c r="C84" s="2">
        <f>1374*(10^-6)</f>
        <v>1.374E-3</v>
      </c>
      <c r="D84" s="2">
        <f t="shared" si="23"/>
        <v>1.694204685573366E-3</v>
      </c>
      <c r="E84" s="2"/>
      <c r="F84" s="2"/>
      <c r="G84" s="2">
        <f t="shared" si="24"/>
        <v>0.81200000000000006</v>
      </c>
      <c r="H84" s="6">
        <f t="shared" si="25"/>
        <v>1.3519999999999999E-3</v>
      </c>
      <c r="I84" s="2"/>
      <c r="J84" s="2"/>
      <c r="K84" s="2"/>
      <c r="L84" s="2"/>
    </row>
    <row r="85" spans="1:12" x14ac:dyDescent="0.25">
      <c r="A85" s="2">
        <f t="shared" si="22"/>
        <v>16384</v>
      </c>
      <c r="B85" s="2">
        <f>3199*(10^-3)</f>
        <v>3.1990000000000003</v>
      </c>
      <c r="C85" s="2">
        <f>2903*(10^-6)</f>
        <v>2.9029999999999998E-3</v>
      </c>
      <c r="D85" s="2">
        <f t="shared" si="23"/>
        <v>9.07471084713973E-4</v>
      </c>
      <c r="E85" s="2"/>
      <c r="F85" s="2"/>
      <c r="G85" s="2">
        <f t="shared" si="24"/>
        <v>3.2440000000000002</v>
      </c>
      <c r="H85" s="6">
        <f t="shared" si="25"/>
        <v>2.9593846153846155E-3</v>
      </c>
      <c r="I85" s="2"/>
      <c r="J85" s="2"/>
      <c r="K85" s="2"/>
      <c r="L85" s="2"/>
    </row>
    <row r="86" spans="1:12" x14ac:dyDescent="0.25">
      <c r="A86" s="2">
        <f t="shared" si="22"/>
        <v>32768</v>
      </c>
      <c r="B86" s="2">
        <f>12730*(10^-3)</f>
        <v>12.73</v>
      </c>
      <c r="C86" s="2">
        <f>6241*(10^-6)</f>
        <v>6.241E-3</v>
      </c>
      <c r="D86" s="2">
        <f t="shared" si="23"/>
        <v>4.9025923016496461E-4</v>
      </c>
      <c r="E86" s="2"/>
      <c r="F86" s="2"/>
      <c r="G86" s="2">
        <f t="shared" si="24"/>
        <v>12.796000000000001</v>
      </c>
      <c r="H86" s="6">
        <f t="shared" si="25"/>
        <v>6.2207142857142851E-3</v>
      </c>
      <c r="I86" s="2"/>
      <c r="J86" s="2"/>
      <c r="K86" s="2"/>
      <c r="L86" s="2"/>
    </row>
    <row r="87" spans="1:12" x14ac:dyDescent="0.25">
      <c r="A87" s="2">
        <f t="shared" si="22"/>
        <v>65536</v>
      </c>
      <c r="B87" s="2">
        <f>50982*(10^-3)</f>
        <v>50.981999999999999</v>
      </c>
      <c r="C87" s="2">
        <f>13291*(10^-6)</f>
        <v>1.3290999999999999E-2</v>
      </c>
      <c r="D87" s="2">
        <f t="shared" si="23"/>
        <v>2.6069985485073163E-4</v>
      </c>
      <c r="E87" s="2"/>
      <c r="F87" s="2"/>
      <c r="G87" s="2">
        <f t="shared" si="24"/>
        <v>50.92</v>
      </c>
      <c r="H87" s="6">
        <f t="shared" si="25"/>
        <v>1.3314133333333334E-2</v>
      </c>
      <c r="I87" s="2"/>
      <c r="J87" s="2"/>
      <c r="K87" s="2"/>
      <c r="L87" s="2"/>
    </row>
    <row r="88" spans="1:12" x14ac:dyDescent="0.25">
      <c r="A88" s="3" t="s">
        <v>38</v>
      </c>
      <c r="B88" s="3"/>
      <c r="C88" s="3"/>
      <c r="D88" s="3"/>
      <c r="E88" s="3"/>
      <c r="F88" s="2"/>
      <c r="G88" s="8" t="s">
        <v>34</v>
      </c>
      <c r="H88" s="8"/>
      <c r="I88" s="2"/>
      <c r="J88" s="2"/>
      <c r="K88" s="2"/>
      <c r="L88" s="2"/>
    </row>
    <row r="89" spans="1:12" ht="186.75" customHeight="1" x14ac:dyDescent="0.25">
      <c r="A89" s="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</row>
    <row r="90" spans="1:12" x14ac:dyDescent="0.25">
      <c r="A90" s="2"/>
      <c r="B90" s="2" t="s">
        <v>39</v>
      </c>
      <c r="C90" s="2" t="s">
        <v>40</v>
      </c>
      <c r="D90" s="2" t="s">
        <v>41</v>
      </c>
      <c r="E90" s="2"/>
      <c r="F90" s="2"/>
      <c r="G90" s="2" t="s">
        <v>42</v>
      </c>
      <c r="H90" s="2" t="s">
        <v>43</v>
      </c>
      <c r="I90" s="2"/>
      <c r="J90" s="2"/>
      <c r="K90" s="2"/>
      <c r="L90" s="2"/>
    </row>
    <row r="91" spans="1:12" x14ac:dyDescent="0.25">
      <c r="A91" s="2">
        <v>8</v>
      </c>
      <c r="B91" s="2">
        <f>46*(10^-6)</f>
        <v>4.6E-5</v>
      </c>
      <c r="C91" s="2">
        <f>203*(10^-7)</f>
        <v>2.0299999999999999E-5</v>
      </c>
      <c r="D91" s="2">
        <f>B91/C91</f>
        <v>2.2660098522167491</v>
      </c>
      <c r="E91" s="2"/>
      <c r="F91" s="2"/>
      <c r="G91" s="2">
        <f>B91</f>
        <v>4.6E-5</v>
      </c>
      <c r="H91" s="2">
        <f>C91</f>
        <v>2.0299999999999999E-5</v>
      </c>
      <c r="I91" s="2"/>
      <c r="J91" s="2"/>
      <c r="K91" s="2"/>
      <c r="L91" s="2"/>
    </row>
    <row r="92" spans="1:12" x14ac:dyDescent="0.25">
      <c r="A92" s="2">
        <f t="shared" ref="A92:A97" si="26">A91*2</f>
        <v>16</v>
      </c>
      <c r="B92" s="2">
        <f>905*(10^-6)</f>
        <v>9.0499999999999999E-4</v>
      </c>
      <c r="C92" s="2">
        <f>203*(10^-6)</f>
        <v>2.03E-4</v>
      </c>
      <c r="D92" s="2">
        <f t="shared" ref="D92:D97" si="27">B92/C92</f>
        <v>4.458128078817734</v>
      </c>
      <c r="E92" s="2"/>
      <c r="F92" s="2"/>
      <c r="G92" s="2">
        <f>$A92^4/$A91^4 *B91</f>
        <v>7.36E-4</v>
      </c>
      <c r="H92" s="2">
        <f>$A92^3/$A91^3 *LOG10(A92)/LOG10(A91)*C91</f>
        <v>2.1653333333333336E-4</v>
      </c>
      <c r="I92" s="2"/>
      <c r="J92" s="2"/>
      <c r="K92" s="2"/>
      <c r="L92" s="2"/>
    </row>
    <row r="93" spans="1:12" x14ac:dyDescent="0.25">
      <c r="A93" s="2">
        <f t="shared" si="26"/>
        <v>32</v>
      </c>
      <c r="B93" s="2">
        <f>125*(10^-4)</f>
        <v>1.2500000000000001E-2</v>
      </c>
      <c r="C93" s="2">
        <f>202*(10^-5)</f>
        <v>2.0200000000000001E-3</v>
      </c>
      <c r="D93" s="2">
        <f t="shared" si="27"/>
        <v>6.1881188118811883</v>
      </c>
      <c r="E93" s="2"/>
      <c r="F93" s="2"/>
      <c r="G93" s="2">
        <f t="shared" ref="G93:G97" si="28">$A93^4/$A92^4 *B92</f>
        <v>1.448E-2</v>
      </c>
      <c r="H93" s="2">
        <f t="shared" ref="H93:H97" si="29">$A93^3/$A92^3 *LOG10(A93)/LOG10(A92)*C92</f>
        <v>2.0300000000000001E-3</v>
      </c>
      <c r="I93" s="2"/>
      <c r="J93" s="2"/>
      <c r="K93" s="2"/>
      <c r="L93" s="2"/>
    </row>
    <row r="94" spans="1:12" x14ac:dyDescent="0.25">
      <c r="A94" s="2">
        <f t="shared" si="26"/>
        <v>64</v>
      </c>
      <c r="B94" s="2">
        <f>203*(10^-3)</f>
        <v>0.20300000000000001</v>
      </c>
      <c r="C94" s="2">
        <f>187*(10^-4)</f>
        <v>1.8700000000000001E-2</v>
      </c>
      <c r="D94" s="2">
        <f t="shared" si="27"/>
        <v>10.855614973262032</v>
      </c>
      <c r="E94" s="2"/>
      <c r="F94" s="2"/>
      <c r="G94" s="2">
        <f t="shared" si="28"/>
        <v>0.2</v>
      </c>
      <c r="H94" s="2">
        <f t="shared" si="29"/>
        <v>1.9392E-2</v>
      </c>
      <c r="I94" s="2"/>
      <c r="J94" s="2"/>
      <c r="K94" s="2"/>
      <c r="L94" s="2"/>
    </row>
    <row r="95" spans="1:12" x14ac:dyDescent="0.25">
      <c r="A95" s="2">
        <f t="shared" si="26"/>
        <v>128</v>
      </c>
      <c r="B95" s="2">
        <f>3198*(10^-3)</f>
        <v>3.198</v>
      </c>
      <c r="C95" s="2">
        <f>171*(10^-3)</f>
        <v>0.17100000000000001</v>
      </c>
      <c r="D95" s="2">
        <f t="shared" si="27"/>
        <v>18.701754385964911</v>
      </c>
      <c r="E95" s="2"/>
      <c r="F95" s="2"/>
      <c r="G95" s="2">
        <f t="shared" si="28"/>
        <v>3.2480000000000002</v>
      </c>
      <c r="H95" s="2">
        <f t="shared" si="29"/>
        <v>0.17453333333333335</v>
      </c>
      <c r="I95" s="2"/>
      <c r="J95" s="2"/>
      <c r="K95" s="2"/>
      <c r="L95" s="2"/>
    </row>
    <row r="96" spans="1:12" x14ac:dyDescent="0.25">
      <c r="A96" s="2">
        <f t="shared" si="26"/>
        <v>256</v>
      </c>
      <c r="B96" s="2">
        <f>50963*(10^-3)</f>
        <v>50.963000000000001</v>
      </c>
      <c r="C96" s="2">
        <f>1638*(10^-3)</f>
        <v>1.6380000000000001</v>
      </c>
      <c r="D96" s="2">
        <f t="shared" si="27"/>
        <v>31.112942612942611</v>
      </c>
      <c r="E96" s="2"/>
      <c r="F96" s="2"/>
      <c r="G96" s="2">
        <f t="shared" si="28"/>
        <v>51.167999999999999</v>
      </c>
      <c r="H96" s="2">
        <f t="shared" si="29"/>
        <v>1.5634285714285714</v>
      </c>
      <c r="I96" s="2"/>
      <c r="J96" s="2"/>
      <c r="K96" s="2"/>
      <c r="L96" s="2"/>
    </row>
    <row r="97" spans="1:12" x14ac:dyDescent="0.25">
      <c r="A97" s="2">
        <f t="shared" si="26"/>
        <v>512</v>
      </c>
      <c r="B97" s="2">
        <f>816193*(10^-3)</f>
        <v>816.19299999999998</v>
      </c>
      <c r="C97" s="2">
        <f>14557*(10^-3)</f>
        <v>14.557</v>
      </c>
      <c r="D97" s="2">
        <f t="shared" si="27"/>
        <v>56.068764168441298</v>
      </c>
      <c r="E97" s="2"/>
      <c r="F97" s="2"/>
      <c r="G97" s="2">
        <f t="shared" si="28"/>
        <v>815.40800000000002</v>
      </c>
      <c r="H97" s="2">
        <f t="shared" si="29"/>
        <v>14.742000000000001</v>
      </c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8" t="s">
        <v>34</v>
      </c>
      <c r="H98" s="8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9" t="s">
        <v>44</v>
      </c>
      <c r="B112" s="9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8" t="s">
        <v>45</v>
      </c>
      <c r="B113" s="8"/>
      <c r="C113" s="8"/>
      <c r="D113" s="8"/>
      <c r="E113" s="8"/>
      <c r="F113" s="8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</sheetData>
  <mergeCells count="10">
    <mergeCell ref="A52:I52"/>
    <mergeCell ref="B31:D31"/>
    <mergeCell ref="G31:I31"/>
    <mergeCell ref="A47:I47"/>
    <mergeCell ref="A51:I51"/>
    <mergeCell ref="G71:H71"/>
    <mergeCell ref="G88:H88"/>
    <mergeCell ref="G98:H98"/>
    <mergeCell ref="A112:B112"/>
    <mergeCell ref="A113:F1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Sergio Faya Fernández</cp:lastModifiedBy>
  <cp:lastPrinted>2017-02-14T15:36:47Z</cp:lastPrinted>
  <dcterms:created xsi:type="dcterms:W3CDTF">2017-02-01T14:39:23Z</dcterms:created>
  <dcterms:modified xsi:type="dcterms:W3CDTF">2017-02-14T15:38:17Z</dcterms:modified>
</cp:coreProperties>
</file>