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\Desktop\GIRGY\"/>
    </mc:Choice>
  </mc:AlternateContent>
  <bookViews>
    <workbookView xWindow="0" yWindow="0" windowWidth="20490" windowHeight="7755" firstSheet="2" activeTab="3"/>
  </bookViews>
  <sheets>
    <sheet name="Paneles ORIG" sheetId="1" r:id="rId1"/>
    <sheet name="Paneles Sin Fac" sheetId="5" r:id="rId2"/>
    <sheet name="Paneles Con Fac" sheetId="6" r:id="rId3"/>
    <sheet name="INFORME con FACT" sheetId="9" r:id="rId4"/>
    <sheet name="POSIBLE ECO (2)" sheetId="10" r:id="rId5"/>
    <sheet name="Paneles BES" sheetId="8" r:id="rId6"/>
    <sheet name="Almacenamiento" sheetId="4" r:id="rId7"/>
    <sheet name="AmericaFotov" sheetId="3" r:id="rId8"/>
  </sheets>
  <definedNames>
    <definedName name="_xlnm.Print_Area" localSheetId="3">'INFORME con FACT'!$A$1:$K$85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B17" i="6"/>
  <c r="B16" i="6"/>
  <c r="B15" i="6"/>
  <c r="F10" i="10" l="1"/>
  <c r="I10" i="6" l="1"/>
  <c r="I10" i="10"/>
  <c r="B8" i="9"/>
  <c r="F12" i="10"/>
  <c r="E48" i="9" l="1"/>
  <c r="F9" i="6" l="1"/>
  <c r="J12" i="10" l="1"/>
  <c r="J13" i="10"/>
  <c r="J14" i="10"/>
  <c r="J28" i="10"/>
  <c r="B7" i="6"/>
  <c r="C19" i="9"/>
  <c r="C21" i="9" s="1"/>
  <c r="B12" i="6"/>
  <c r="E47" i="9" l="1"/>
  <c r="I18" i="9" l="1"/>
  <c r="C18" i="9" l="1"/>
  <c r="F26" i="5"/>
  <c r="O22" i="8" l="1"/>
  <c r="H23" i="8"/>
  <c r="D13" i="8"/>
  <c r="E13" i="8"/>
  <c r="E16" i="8" s="1"/>
  <c r="F13" i="8"/>
  <c r="F16" i="8" s="1"/>
  <c r="G13" i="8"/>
  <c r="G16" i="8" s="1"/>
  <c r="H13" i="8"/>
  <c r="I13" i="8"/>
  <c r="I16" i="8" s="1"/>
  <c r="I18" i="8" s="1"/>
  <c r="J13" i="8"/>
  <c r="K13" i="8"/>
  <c r="K16" i="8" s="1"/>
  <c r="K18" i="8" s="1"/>
  <c r="L13" i="8"/>
  <c r="L16" i="8" s="1"/>
  <c r="L18" i="8" s="1"/>
  <c r="M13" i="8"/>
  <c r="N13" i="8"/>
  <c r="C13" i="8"/>
  <c r="C16" i="8" s="1"/>
  <c r="I23" i="8"/>
  <c r="J23" i="8"/>
  <c r="K23" i="8"/>
  <c r="L23" i="8"/>
  <c r="M23" i="8"/>
  <c r="N23" i="8"/>
  <c r="D23" i="8"/>
  <c r="E23" i="8"/>
  <c r="F23" i="8"/>
  <c r="G23" i="8"/>
  <c r="C23" i="8"/>
  <c r="D16" i="8"/>
  <c r="H16" i="8"/>
  <c r="J16" i="8"/>
  <c r="J18" i="8" s="1"/>
  <c r="M16" i="8"/>
  <c r="M18" i="8" s="1"/>
  <c r="N16" i="8"/>
  <c r="N18" i="8" s="1"/>
  <c r="O23" i="8" l="1"/>
  <c r="O24" i="8" s="1"/>
  <c r="O25" i="8" s="1"/>
  <c r="H18" i="8"/>
  <c r="G18" i="8"/>
  <c r="F18" i="8"/>
  <c r="E18" i="8"/>
  <c r="D18" i="8"/>
  <c r="C18" i="8"/>
  <c r="S39" i="8"/>
  <c r="S33" i="8"/>
  <c r="S24" i="8"/>
  <c r="B8" i="6"/>
  <c r="B10" i="6" s="1"/>
  <c r="H4" i="5"/>
  <c r="L25" i="6"/>
  <c r="P39" i="5"/>
  <c r="P33" i="5"/>
  <c r="P24" i="5"/>
  <c r="E22" i="5"/>
  <c r="D22" i="5"/>
  <c r="F22" i="5" s="1"/>
  <c r="F21" i="5"/>
  <c r="E20" i="5"/>
  <c r="D20" i="5"/>
  <c r="F20" i="5" s="1"/>
  <c r="E19" i="5"/>
  <c r="D19" i="5"/>
  <c r="F19" i="5" s="1"/>
  <c r="F18" i="5"/>
  <c r="F17" i="5"/>
  <c r="E16" i="5"/>
  <c r="D16" i="5"/>
  <c r="F16" i="5" s="1"/>
  <c r="F15" i="5"/>
  <c r="F14" i="5"/>
  <c r="E13" i="5"/>
  <c r="D13" i="5"/>
  <c r="F13" i="5" s="1"/>
  <c r="F12" i="5"/>
  <c r="F11" i="5"/>
  <c r="E10" i="5"/>
  <c r="D10" i="5"/>
  <c r="F10" i="5" s="1"/>
  <c r="E9" i="5"/>
  <c r="D9" i="5"/>
  <c r="F9" i="5" s="1"/>
  <c r="E8" i="5"/>
  <c r="D8" i="5"/>
  <c r="F8" i="5" s="1"/>
  <c r="E7" i="5"/>
  <c r="D7" i="5"/>
  <c r="F7" i="5" s="1"/>
  <c r="E6" i="5"/>
  <c r="D6" i="5"/>
  <c r="F6" i="5" s="1"/>
  <c r="F23" i="5" s="1"/>
  <c r="M5" i="5"/>
  <c r="F5" i="5"/>
  <c r="J4" i="5"/>
  <c r="I8" i="1"/>
  <c r="E9" i="6" l="1"/>
  <c r="G9" i="6" s="1"/>
  <c r="H9" i="6" s="1"/>
  <c r="I9" i="6" s="1"/>
  <c r="M20" i="8"/>
  <c r="M21" i="8" s="1"/>
  <c r="K20" i="8"/>
  <c r="K21" i="8" s="1"/>
  <c r="I20" i="8"/>
  <c r="I21" i="8" s="1"/>
  <c r="E20" i="8"/>
  <c r="E21" i="8" s="1"/>
  <c r="N20" i="8"/>
  <c r="N21" i="8" s="1"/>
  <c r="L20" i="8"/>
  <c r="L21" i="8" s="1"/>
  <c r="J20" i="8"/>
  <c r="J21" i="8" s="1"/>
  <c r="F20" i="8"/>
  <c r="F21" i="8" s="1"/>
  <c r="D20" i="8"/>
  <c r="D21" i="8" s="1"/>
  <c r="H20" i="8"/>
  <c r="H21" i="8" s="1"/>
  <c r="G20" i="8"/>
  <c r="G21" i="8" s="1"/>
  <c r="C20" i="8"/>
  <c r="C21" i="8" s="1"/>
  <c r="F24" i="5"/>
  <c r="B4" i="4"/>
  <c r="J10" i="4"/>
  <c r="O39" i="1"/>
  <c r="J24" i="4"/>
  <c r="J20" i="4"/>
  <c r="H5" i="5" l="1"/>
  <c r="I4" i="5"/>
  <c r="L5" i="1"/>
  <c r="L9" i="1"/>
  <c r="G8" i="1"/>
  <c r="H10" i="6" l="1"/>
  <c r="I5" i="5"/>
  <c r="K4" i="5"/>
  <c r="B30" i="1"/>
  <c r="H8" i="1"/>
  <c r="E5" i="1"/>
  <c r="I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3" i="1" s="1"/>
  <c r="G4" i="1" s="1"/>
  <c r="E19" i="1"/>
  <c r="E20" i="1"/>
  <c r="E21" i="1"/>
  <c r="E22" i="1"/>
  <c r="D6" i="1"/>
  <c r="D7" i="1"/>
  <c r="D8" i="1"/>
  <c r="D9" i="1"/>
  <c r="D10" i="1"/>
  <c r="D13" i="1"/>
  <c r="D16" i="1"/>
  <c r="D19" i="1"/>
  <c r="D20" i="1"/>
  <c r="D22" i="1"/>
  <c r="C6" i="1"/>
  <c r="C7" i="1"/>
  <c r="C8" i="1"/>
  <c r="C9" i="1"/>
  <c r="C10" i="1"/>
  <c r="C13" i="1"/>
  <c r="C16" i="1"/>
  <c r="C19" i="1"/>
  <c r="C20" i="1"/>
  <c r="C22" i="1"/>
  <c r="O33" i="1"/>
  <c r="O24" i="1"/>
  <c r="C8" i="9" l="1"/>
  <c r="C12" i="9" s="1"/>
  <c r="L4" i="5"/>
  <c r="M4" i="5" s="1"/>
  <c r="K5" i="5"/>
  <c r="J8" i="1"/>
  <c r="K8" i="1" s="1"/>
  <c r="L8" i="1" s="1"/>
  <c r="E24" i="1"/>
  <c r="H4" i="1"/>
  <c r="J4" i="1" s="1"/>
  <c r="G5" i="1"/>
  <c r="J10" i="10" l="1"/>
  <c r="F15" i="10"/>
  <c r="J15" i="10" s="1"/>
  <c r="J18" i="4"/>
  <c r="C4" i="4" s="1"/>
  <c r="J31" i="4" s="1"/>
  <c r="D4" i="4" s="1"/>
  <c r="K4" i="1"/>
  <c r="L4" i="1" s="1"/>
  <c r="J5" i="1"/>
  <c r="H5" i="1"/>
  <c r="J20" i="10" l="1"/>
  <c r="J22" i="10" s="1"/>
  <c r="H32" i="10" l="1"/>
  <c r="J37" i="10" l="1"/>
  <c r="J39" i="10" s="1"/>
  <c r="H46" i="10" l="1"/>
  <c r="H44" i="10"/>
  <c r="H43" i="10"/>
  <c r="H45" i="10"/>
  <c r="H47" i="10" l="1"/>
  <c r="H48" i="10" l="1"/>
  <c r="I49" i="10"/>
  <c r="I19" i="9" l="1"/>
  <c r="G53" i="10"/>
  <c r="F48" i="9"/>
  <c r="F51" i="9" l="1"/>
  <c r="F50" i="9"/>
  <c r="C22" i="9"/>
  <c r="F47" i="9"/>
</calcChain>
</file>

<file path=xl/comments1.xml><?xml version="1.0" encoding="utf-8"?>
<comments xmlns="http://schemas.openxmlformats.org/spreadsheetml/2006/main">
  <authors>
    <author>Cristian</author>
  </authors>
  <commentList>
    <comment ref="N13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Rendimiento Global de la instalación</t>
        </r>
      </text>
    </comment>
    <comment ref="O16" authorId="0" shapeId="0">
      <text>
        <r>
          <rPr>
            <b/>
            <sz val="9"/>
            <color indexed="81"/>
            <rFont val="Tahoma"/>
            <charset val="1"/>
          </rPr>
          <t>Cristian:</t>
        </r>
        <r>
          <rPr>
            <sz val="9"/>
            <color indexed="81"/>
            <rFont val="Tahoma"/>
            <charset val="1"/>
          </rPr>
          <t xml:space="preserve">
En sistemas que no se producen descargas intensas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Por metro cuadrado</t>
        </r>
      </text>
    </comment>
    <comment ref="O17" authorId="0" shapeId="0">
      <text>
        <r>
          <rPr>
            <b/>
            <sz val="9"/>
            <color indexed="81"/>
            <rFont val="Tahoma"/>
            <charset val="1"/>
          </rPr>
          <t>Cristian:</t>
        </r>
        <r>
          <rPr>
            <sz val="9"/>
            <color indexed="81"/>
            <rFont val="Tahoma"/>
            <charset val="1"/>
          </rPr>
          <t xml:space="preserve">
En sistemas con descargas profundas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Por metro cuadrado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inversores de salida senoidal pura, en condiciones óptimas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condiciones de trabajo lejos de las óptimas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El intervalo de valores de este parámetro que se toma como referencia es 0,05&lt;Kv&lt;0,15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baterias de baja autodescarga (N; Cd)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baterías estacionarias de plomo ácido (las más comunes)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baterías de alta decarga</t>
        </r>
      </text>
    </comment>
    <comment ref="N32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Un intervalo de 4 a 10 días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No deberá exceder el 80% de la capacidad del acumulador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La irradiación se saca a partir de la potencia por metro cuadrado y las Hora Pico Solares, la cual en Colombia sería una constante aproximada de 10 horas</t>
        </r>
      </text>
    </comment>
  </commentList>
</comments>
</file>

<file path=xl/comments2.xml><?xml version="1.0" encoding="utf-8"?>
<comments xmlns="http://schemas.openxmlformats.org/spreadsheetml/2006/main">
  <authors>
    <author>Cristian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Rendimiento Global de la instalación</t>
        </r>
      </text>
    </comment>
    <comment ref="P16" authorId="0" shapeId="0">
      <text>
        <r>
          <rPr>
            <b/>
            <sz val="9"/>
            <color indexed="81"/>
            <rFont val="Tahoma"/>
            <charset val="1"/>
          </rPr>
          <t>Cristian:</t>
        </r>
        <r>
          <rPr>
            <sz val="9"/>
            <color indexed="81"/>
            <rFont val="Tahoma"/>
            <charset val="1"/>
          </rPr>
          <t xml:space="preserve">
En sistemas que no se producen descargas intensas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Por metro cuadrado</t>
        </r>
      </text>
    </comment>
    <comment ref="P17" authorId="0" shapeId="0">
      <text>
        <r>
          <rPr>
            <b/>
            <sz val="9"/>
            <color indexed="81"/>
            <rFont val="Tahoma"/>
            <charset val="1"/>
          </rPr>
          <t>Cristian:</t>
        </r>
        <r>
          <rPr>
            <sz val="9"/>
            <color indexed="81"/>
            <rFont val="Tahoma"/>
            <charset val="1"/>
          </rPr>
          <t xml:space="preserve">
En sistemas con descargas profundas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Por metro cuadrado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inversores de salida senoidal pura, en condiciones óptimas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condiciones de trabajo lejos de las óptimas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El intervalo de valores de este parámetro que se toma como referencia es 0,05&lt;Kv&lt;0,15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baterias de baja autodescarga (N; Cd)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baterías estacionarias de plomo ácido (las más comunes)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baterías de alta decarga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Un intervalo de 4 a 10 días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No deberá exceder el 80% de la capacidad del acumulador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La irradiación se saca a partir de la potencia por metro cuadrado y las Hora Pico Solares, la cual en Colombia sería una constante aproximada de 10 horas</t>
        </r>
      </text>
    </comment>
  </commentList>
</comments>
</file>

<file path=xl/comments3.xml><?xml version="1.0" encoding="utf-8"?>
<comments xmlns="http://schemas.openxmlformats.org/spreadsheetml/2006/main">
  <authors>
    <author>Cristian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0,5-0,6 a 1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constante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Rendimiento Global de la instalación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Cristian:</t>
        </r>
        <r>
          <rPr>
            <sz val="9"/>
            <color indexed="81"/>
            <rFont val="Tahoma"/>
            <charset val="1"/>
          </rPr>
          <t xml:space="preserve">
En sistemas que no se producen descargas intensas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Cristian:</t>
        </r>
        <r>
          <rPr>
            <sz val="9"/>
            <color indexed="81"/>
            <rFont val="Tahoma"/>
            <charset val="1"/>
          </rPr>
          <t xml:space="preserve">
En sistemas con descargas profundas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inversores de salida senoidal pura, en condiciones óptimas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condiciones de trabajo lejos de las óptimas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El intervalo de valores de este parámetro que se toma como referencia es 0,05&lt;Kv&lt;0,15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Porcentaje que quieres suplir mediante el sistema a instalar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baterias de baja autodescarga (N; Cd)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baterías estacionarias de plomo ácido (las más comunes)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baterías de alta decarga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Un intervalo de 4 a 10 días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No deberá exceder el 80% de la capacidad del acumulador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La irradiación se saca a partir de la potencia por metro cuadrado y las Hora Pico Solares, la cual en Colombia sería una constante aproximada de 10 horas</t>
        </r>
      </text>
    </comment>
  </commentList>
</comments>
</file>

<file path=xl/comments4.xml><?xml version="1.0" encoding="utf-8"?>
<comments xmlns="http://schemas.openxmlformats.org/spreadsheetml/2006/main">
  <authors>
    <author>Cristian</author>
  </authors>
  <commentList>
    <comment ref="F18" authorId="0" shapeId="0">
      <text>
        <r>
          <rPr>
            <b/>
            <sz val="9"/>
            <color indexed="81"/>
            <rFont val="Tahoma"/>
            <charset val="1"/>
          </rPr>
          <t>Cristian:</t>
        </r>
        <r>
          <rPr>
            <sz val="9"/>
            <color indexed="81"/>
            <rFont val="Tahoma"/>
            <charset val="1"/>
          </rPr>
          <t xml:space="preserve">
Dependiendo del Porcentaje atendido</t>
        </r>
      </text>
    </comment>
  </commentList>
</comments>
</file>

<file path=xl/comments5.xml><?xml version="1.0" encoding="utf-8"?>
<comments xmlns="http://schemas.openxmlformats.org/spreadsheetml/2006/main">
  <authors>
    <author>Cristian</author>
  </authors>
  <commentList>
    <comment ref="R13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Rendimiento Global de la instalación</t>
        </r>
      </text>
    </comment>
    <comment ref="S16" authorId="0" shapeId="0">
      <text>
        <r>
          <rPr>
            <b/>
            <sz val="9"/>
            <color indexed="81"/>
            <rFont val="Tahoma"/>
            <charset val="1"/>
          </rPr>
          <t>Cristian:</t>
        </r>
        <r>
          <rPr>
            <sz val="9"/>
            <color indexed="81"/>
            <rFont val="Tahoma"/>
            <charset val="1"/>
          </rPr>
          <t xml:space="preserve">
En sistemas que no se producen descargas intensas</t>
        </r>
      </text>
    </comment>
    <comment ref="S17" authorId="0" shapeId="0">
      <text>
        <r>
          <rPr>
            <b/>
            <sz val="9"/>
            <color indexed="81"/>
            <rFont val="Tahoma"/>
            <charset val="1"/>
          </rPr>
          <t>Cristian:</t>
        </r>
        <r>
          <rPr>
            <sz val="9"/>
            <color indexed="81"/>
            <rFont val="Tahoma"/>
            <charset val="1"/>
          </rPr>
          <t xml:space="preserve">
En sistemas con descargas profundas</t>
        </r>
      </text>
    </comment>
    <comment ref="S20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inversores de salida senoidal pura, en condiciones óptimas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condiciones de trabajo lejos de las óptimas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El intervalo de valores de este parámetro que se toma como referencia es 0,05&lt;Kv&lt;0,15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Generalmente las plataformas tienes una hectárea, por lo que sólo el 24,5% el área se ocupa por paneles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baterias de baja autodescarga (N; Cd)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baterías estacionarias de plomo ácido (las más comunes)</t>
        </r>
      </text>
    </comment>
    <comment ref="S30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Para baterías de alta decarga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Un intervalo de 4 a 10 días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No deberá exceder el 80% de la capacidad del acumulador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La irradiación se saca a partir de la potencia por metro cuadrado y las Hora Pico Solares, la cual en Colombia sería una constante aproximada de 10 horas</t>
        </r>
      </text>
    </comment>
  </commentList>
</comments>
</file>

<file path=xl/sharedStrings.xml><?xml version="1.0" encoding="utf-8"?>
<sst xmlns="http://schemas.openxmlformats.org/spreadsheetml/2006/main" count="384" uniqueCount="184">
  <si>
    <t>P=Potencia Nominal</t>
  </si>
  <si>
    <t>n= Numero de aparatos</t>
  </si>
  <si>
    <t>t= Horas de funcionamiento</t>
  </si>
  <si>
    <t>Aparatos</t>
  </si>
  <si>
    <t>CONSUMO DIARIO</t>
  </si>
  <si>
    <t>CONSUMO ENERGETICO TOTAL</t>
  </si>
  <si>
    <t>CONSUMO ENERGETICO REAL</t>
  </si>
  <si>
    <t xml:space="preserve">Kb= Coeficiente de pérdidas debidas al rendimiento del acumulador </t>
  </si>
  <si>
    <t>Cd</t>
  </si>
  <si>
    <t>Et</t>
  </si>
  <si>
    <t>E</t>
  </si>
  <si>
    <t>Kc= Coeficente de pérdidas en el inversor</t>
  </si>
  <si>
    <t>Kv= Coeficiente de pérdidas varias (Transmisión, efecto Joule, etc)</t>
  </si>
  <si>
    <t>Ka= Coeficiente de autodescarga de las baterías, los valores típicos son</t>
  </si>
  <si>
    <t xml:space="preserve">N= días de autonomía de la instalación 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</si>
  <si>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>Días continuos en que la instalación deberá operar bajo una irradiación mínima (días nublados). Se consume una cantidad de energía mayor que la generada por el sistema FV.</t>
    </r>
  </si>
  <si>
    <t>Pd= Profundidad de descarga diaria de la batería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</si>
  <si>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>La eficiencia del acumulador decrece en gran medida con ciclos profundos de carga y descarga.</t>
    </r>
  </si>
  <si>
    <t>Valor Seleccionado</t>
  </si>
  <si>
    <t>R</t>
  </si>
  <si>
    <t>IRRADIACION</t>
  </si>
  <si>
    <t>Guajira</t>
  </si>
  <si>
    <t>Costa Atlántica</t>
  </si>
  <si>
    <t>Promedio de irradiación kWh/m2/día</t>
  </si>
  <si>
    <t>Región</t>
  </si>
  <si>
    <t>Orinoquía</t>
  </si>
  <si>
    <t>Amazonía</t>
  </si>
  <si>
    <t>Región Andina</t>
  </si>
  <si>
    <t>Costa Pacífica</t>
  </si>
  <si>
    <t>Colombia</t>
  </si>
  <si>
    <t>Hora Pico Solares (Horas)</t>
  </si>
  <si>
    <t>Np</t>
  </si>
  <si>
    <t>NÚMERO DE PANELES NECESARIOS</t>
  </si>
  <si>
    <t>Cantidad</t>
  </si>
  <si>
    <t>Horas de uso</t>
  </si>
  <si>
    <t>Cocina eléctrica</t>
  </si>
  <si>
    <t>Horno eléctrico</t>
  </si>
  <si>
    <t>Freidora</t>
  </si>
  <si>
    <t>Batidora</t>
  </si>
  <si>
    <t>Molino de café</t>
  </si>
  <si>
    <t>Tostadora</t>
  </si>
  <si>
    <t>Nevera</t>
  </si>
  <si>
    <t>Congelador</t>
  </si>
  <si>
    <t>Lavavajillas</t>
  </si>
  <si>
    <t>Lavadora</t>
  </si>
  <si>
    <t>Secadora</t>
  </si>
  <si>
    <t>Plancha</t>
  </si>
  <si>
    <t>Aire Acondicionado</t>
  </si>
  <si>
    <t>Termo eléctrico</t>
  </si>
  <si>
    <t>Ventilador</t>
  </si>
  <si>
    <t>Televisor</t>
  </si>
  <si>
    <t>Iluminación</t>
  </si>
  <si>
    <t>Total</t>
  </si>
  <si>
    <t>Calefacción eléctrico</t>
  </si>
  <si>
    <t>Potencia nominal (wp)</t>
  </si>
  <si>
    <t>Cp</t>
  </si>
  <si>
    <t>wp</t>
  </si>
  <si>
    <t>Factura</t>
  </si>
  <si>
    <t>wh diario</t>
  </si>
  <si>
    <t>CON FACTURA</t>
  </si>
  <si>
    <t>SIN FACTURA</t>
  </si>
  <si>
    <t>Área</t>
  </si>
  <si>
    <t xml:space="preserve">Área </t>
  </si>
  <si>
    <t>kWh</t>
  </si>
  <si>
    <t>Wh</t>
  </si>
  <si>
    <t>EJEMPLO DE MI FACTURA</t>
  </si>
  <si>
    <t>Wh mensual</t>
  </si>
  <si>
    <t>CAPACIDAD DISPONIBLE</t>
  </si>
  <si>
    <t>Cb= Capacidad nominal (carga total que podría extraer de la batería)</t>
  </si>
  <si>
    <t xml:space="preserve">Pd= Profundidad de descarga de la batería en un ciclo diario </t>
  </si>
  <si>
    <t>CAPACIDAD DEL BANCO DE BATERIAS</t>
  </si>
  <si>
    <t>E= Consumo de energía real (Wh)</t>
  </si>
  <si>
    <t>N= Días de autonomía</t>
  </si>
  <si>
    <t>V= Tensión nominal de acumulador (V)</t>
  </si>
  <si>
    <t>Cu</t>
  </si>
  <si>
    <t>C</t>
  </si>
  <si>
    <t>NÚMERO DE BATERIAS NECESARIAS</t>
  </si>
  <si>
    <t>C= Capacidad del banco de baterías</t>
  </si>
  <si>
    <t>Nb</t>
  </si>
  <si>
    <t>TIPO</t>
  </si>
  <si>
    <t>Obligatorio</t>
  </si>
  <si>
    <t>Recomendado</t>
  </si>
  <si>
    <t>Pd MAX</t>
  </si>
  <si>
    <t>Tubular</t>
  </si>
  <si>
    <t>SLI</t>
  </si>
  <si>
    <t>Clásico</t>
  </si>
  <si>
    <t>Modificada</t>
  </si>
  <si>
    <t>Bajo mantenimiento</t>
  </si>
  <si>
    <t>Cbat= Capacidad de la batería requerida</t>
  </si>
  <si>
    <t>Wp= Potencia Máxima del panel</t>
  </si>
  <si>
    <t>% atendido</t>
  </si>
  <si>
    <t>% Atendido</t>
  </si>
  <si>
    <t>Wh diario</t>
  </si>
  <si>
    <t xml:space="preserve">Np </t>
  </si>
  <si>
    <t>Np Total</t>
  </si>
  <si>
    <t>BFPD</t>
  </si>
  <si>
    <t>kWh/BFP</t>
  </si>
  <si>
    <t>m2</t>
  </si>
  <si>
    <t>Wh/BFP</t>
  </si>
  <si>
    <t>CN-46</t>
  </si>
  <si>
    <t>CN-51</t>
  </si>
  <si>
    <t>CN-59</t>
  </si>
  <si>
    <t>CN-78</t>
  </si>
  <si>
    <t>CN-87</t>
  </si>
  <si>
    <t>CN-106</t>
  </si>
  <si>
    <t>CN-110</t>
  </si>
  <si>
    <t>CN-139</t>
  </si>
  <si>
    <t>CN-153</t>
  </si>
  <si>
    <t>CN-154</t>
  </si>
  <si>
    <t>CN-166</t>
  </si>
  <si>
    <t>Paneles</t>
  </si>
  <si>
    <t>POZO</t>
  </si>
  <si>
    <t>CN-169</t>
  </si>
  <si>
    <t>Ha</t>
  </si>
  <si>
    <t>LIBRE</t>
  </si>
  <si>
    <t>BOMBAS ELECTROSUMERGIBLES</t>
  </si>
  <si>
    <t>Sincronismo no afecte la producción con el generador</t>
  </si>
  <si>
    <t>Consumo Anual</t>
  </si>
  <si>
    <t>Valor de Factura</t>
  </si>
  <si>
    <t>Red convencional</t>
  </si>
  <si>
    <t>Pesos Colombianos</t>
  </si>
  <si>
    <t xml:space="preserve">Energía Anual Suministrada </t>
  </si>
  <si>
    <t>Costo Anual con Sistema Solar</t>
  </si>
  <si>
    <t>Consumo Promedio Mensual kWh</t>
  </si>
  <si>
    <t>Consumo Mes kWh</t>
  </si>
  <si>
    <t>EN CASO DE QUE NO SEPAS ALGUNO DE LO VALORES REQUERIDOS, PUEDES ENVIARNOS LA FOTO DE TU FACTURA Y TE ENVIAREMOS LA COTIZACIÓN A TU CORREO SIN COSTO ALGUNO</t>
  </si>
  <si>
    <t>Nombre</t>
  </si>
  <si>
    <t>Correo</t>
  </si>
  <si>
    <t>Comentarios</t>
  </si>
  <si>
    <t>Porcentaje Atendido por el Sistema Fotovoltaico</t>
  </si>
  <si>
    <t>Subir Foto</t>
  </si>
  <si>
    <t>Wh Promedio Mensual</t>
  </si>
  <si>
    <t>Wh Promedio Diario</t>
  </si>
  <si>
    <t>Red Convencional</t>
  </si>
  <si>
    <t>Sistema Fotovoltaico</t>
  </si>
  <si>
    <t>FACTOR DE SEGURIDAD</t>
  </si>
  <si>
    <t>NÚMERO DE PANELES SOLARES</t>
  </si>
  <si>
    <t>ÁREA REQUERIDA PARA EL SISTEMA</t>
  </si>
  <si>
    <t>AHORRO A 25 AÑOS</t>
  </si>
  <si>
    <t>VALOR TOTAL</t>
  </si>
  <si>
    <t xml:space="preserve">Total </t>
  </si>
  <si>
    <t>IVA Sobre Utilidades</t>
  </si>
  <si>
    <t>Subtotal sin IVA</t>
  </si>
  <si>
    <t>Utilidad (20%)</t>
  </si>
  <si>
    <t>Impuestos (6%)</t>
  </si>
  <si>
    <t>Administración (10%)</t>
  </si>
  <si>
    <t>Valor Total</t>
  </si>
  <si>
    <t>Costos Adicionales</t>
  </si>
  <si>
    <t>Otros</t>
  </si>
  <si>
    <t>SUBTOTAL ANTES AIU</t>
  </si>
  <si>
    <t>Ingenieros Eléctricos</t>
  </si>
  <si>
    <t>Descripción</t>
  </si>
  <si>
    <t>Profesionales</t>
  </si>
  <si>
    <t>Costos Personal</t>
  </si>
  <si>
    <t>Subtotal</t>
  </si>
  <si>
    <t>Transporte Personal</t>
  </si>
  <si>
    <t>Transporte</t>
  </si>
  <si>
    <t>Costos Logistica</t>
  </si>
  <si>
    <t>Soportes</t>
  </si>
  <si>
    <t>Cables</t>
  </si>
  <si>
    <t>Controladores</t>
  </si>
  <si>
    <t>Inversores</t>
  </si>
  <si>
    <t>Baterias</t>
  </si>
  <si>
    <t xml:space="preserve">Valor </t>
  </si>
  <si>
    <t>Valor Wp</t>
  </si>
  <si>
    <t>Item</t>
  </si>
  <si>
    <t>Costos Directos</t>
  </si>
  <si>
    <t>Email:</t>
  </si>
  <si>
    <t>Teléfono:</t>
  </si>
  <si>
    <t>Fecha:</t>
  </si>
  <si>
    <t>Nombre:</t>
  </si>
  <si>
    <t>Pago de Energía en 1 año</t>
  </si>
  <si>
    <t>Pago de Energía en 25 años</t>
  </si>
  <si>
    <t>Costo Anual con Red Convencional</t>
  </si>
  <si>
    <t>Energía Anual Consumida</t>
  </si>
  <si>
    <t>VALOR DE LA INVERSIÓN</t>
  </si>
  <si>
    <t>Porcentaje Atendido por el Sistema</t>
  </si>
  <si>
    <t>NO DUDES EN PEDIR UNA COTIZACIÓN OFICIAL</t>
  </si>
  <si>
    <t>Imprevistos (5%)</t>
  </si>
  <si>
    <t>Huella Carbono Electricidad</t>
  </si>
  <si>
    <t>Huella Carbono Solar</t>
  </si>
  <si>
    <t>Huella Carbono diferencia</t>
  </si>
  <si>
    <t xml:space="preserve">gCO2 </t>
  </si>
  <si>
    <t>MENSUALMENTE DEJAS DE EMITIR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</si>
</sst>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#,##0.000"/>
    <numFmt numFmtId="165" formatCode="#,##0.0000"/>
    <numFmt numFmtId="166" formatCode="_-&quot;$&quot;* #,##0_-;\-&quot;$&quot;* #,##0_-;_-&quot;$&quot;* &quot;-&quot;??_-;_-@_-"/>
    <numFmt numFmtId="167" formatCode="0.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 (Cuerpo)"/>
    </font>
    <font>
      <b/>
      <sz val="36"/>
      <color theme="1"/>
      <name val="Franklin Gothic Book"/>
      <family val="2"/>
    </font>
    <font>
      <sz val="11"/>
      <color theme="1"/>
      <name val="Franklin Gothic Book"/>
      <family val="2"/>
    </font>
    <font>
      <b/>
      <sz val="14"/>
      <color theme="1"/>
      <name val="Franklin Gothic Book"/>
      <family val="2"/>
    </font>
    <font>
      <sz val="36"/>
      <color theme="1"/>
      <name val="Franklin Gothic Book"/>
      <family val="2"/>
    </font>
    <font>
      <b/>
      <sz val="72"/>
      <color theme="1"/>
      <name val="Franklin Gothic Book"/>
      <family val="2"/>
    </font>
    <font>
      <b/>
      <sz val="48"/>
      <color theme="1"/>
      <name val="Franklin Gothic Book"/>
      <family val="2"/>
    </font>
    <font>
      <b/>
      <sz val="11"/>
      <color theme="1"/>
      <name val="Franklin Gothic Book"/>
      <family val="2"/>
    </font>
    <font>
      <b/>
      <sz val="28"/>
      <color theme="1"/>
      <name val="Franklin Gothic Book"/>
      <family val="2"/>
    </font>
    <font>
      <b/>
      <sz val="16"/>
      <color theme="1"/>
      <name val="Franklin Gothic Book"/>
      <family val="2"/>
    </font>
    <font>
      <b/>
      <sz val="12"/>
      <color theme="1"/>
      <name val="Franklin Gothic Book"/>
      <family val="2"/>
    </font>
    <font>
      <sz val="14"/>
      <color theme="1"/>
      <name val="Franklin Gothic Book"/>
      <family val="2"/>
    </font>
    <font>
      <b/>
      <sz val="22"/>
      <color theme="1"/>
      <name val="Franklin Gothic Book"/>
      <family val="2"/>
    </font>
    <font>
      <b/>
      <sz val="18"/>
      <color theme="1"/>
      <name val="Franklin Gothic Book"/>
      <family val="2"/>
    </font>
    <font>
      <sz val="48"/>
      <color theme="1"/>
      <name val="Franklin Gothic Book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1" fillId="0" borderId="0"/>
    <xf numFmtId="42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311">
    <xf numFmtId="0" fontId="0" fillId="0" borderId="0" xfId="0"/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/>
    </xf>
    <xf numFmtId="4" fontId="0" fillId="0" borderId="1" xfId="0" applyNumberFormat="1" applyBorder="1"/>
    <xf numFmtId="4" fontId="0" fillId="0" borderId="13" xfId="0" applyNumberFormat="1" applyBorder="1" applyAlignment="1">
      <alignment horizontal="center" vertical="center" wrapText="1"/>
    </xf>
    <xf numFmtId="4" fontId="0" fillId="0" borderId="6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6" fillId="0" borderId="3" xfId="0" applyNumberFormat="1" applyFont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6" fillId="0" borderId="3" xfId="0" applyNumberFormat="1" applyFont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0" borderId="12" xfId="0" applyFont="1" applyBorder="1" applyAlignment="1"/>
    <xf numFmtId="4" fontId="6" fillId="0" borderId="1" xfId="0" applyNumberFormat="1" applyFont="1" applyBorder="1" applyAlignment="1">
      <alignment horizontal="center" vertical="center" wrapText="1"/>
    </xf>
    <xf numFmtId="4" fontId="6" fillId="0" borderId="1" xfId="0" applyNumberFormat="1" applyFont="1" applyBorder="1"/>
    <xf numFmtId="4" fontId="7" fillId="0" borderId="1" xfId="0" applyNumberFormat="1" applyFon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/>
    </xf>
    <xf numFmtId="4" fontId="0" fillId="0" borderId="10" xfId="0" applyNumberFormat="1" applyFill="1" applyBorder="1" applyAlignment="1">
      <alignment horizontal="center"/>
    </xf>
    <xf numFmtId="4" fontId="0" fillId="0" borderId="8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4" fontId="0" fillId="0" borderId="3" xfId="0" applyNumberFormat="1" applyFill="1" applyBorder="1" applyAlignment="1">
      <alignment horizontal="center"/>
    </xf>
    <xf numFmtId="4" fontId="0" fillId="0" borderId="4" xfId="0" applyNumberFormat="1" applyFill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6" fillId="0" borderId="0" xfId="0" applyNumberFormat="1" applyFont="1"/>
    <xf numFmtId="4" fontId="0" fillId="0" borderId="0" xfId="0" applyNumberFormat="1" applyAlignment="1">
      <alignment vertic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 vertical="center"/>
    </xf>
    <xf numFmtId="4" fontId="0" fillId="0" borderId="0" xfId="0" applyNumberFormat="1" applyBorder="1"/>
    <xf numFmtId="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/>
    <xf numFmtId="4" fontId="0" fillId="0" borderId="0" xfId="0" applyNumberFormat="1" applyFill="1" applyBorder="1" applyAlignment="1">
      <alignment horizontal="center"/>
    </xf>
    <xf numFmtId="4" fontId="1" fillId="0" borderId="0" xfId="0" applyNumberFormat="1" applyFont="1" applyFill="1" applyBorder="1" applyAlignment="1"/>
    <xf numFmtId="4" fontId="0" fillId="0" borderId="0" xfId="0" applyNumberFormat="1" applyFill="1" applyBorder="1" applyAlignment="1">
      <alignment vertical="center"/>
    </xf>
    <xf numFmtId="4" fontId="0" fillId="0" borderId="2" xfId="0" applyNumberFormat="1" applyFill="1" applyBorder="1" applyAlignment="1">
      <alignment horizontal="center" vertical="center" wrapText="1"/>
    </xf>
    <xf numFmtId="4" fontId="0" fillId="0" borderId="0" xfId="0" applyNumberFormat="1" applyFill="1" applyBorder="1" applyAlignment="1">
      <alignment horizontal="center" vertical="center" wrapText="1"/>
    </xf>
    <xf numFmtId="4" fontId="0" fillId="0" borderId="0" xfId="0" applyNumberFormat="1" applyBorder="1" applyAlignment="1">
      <alignment vertical="center" wrapText="1"/>
    </xf>
    <xf numFmtId="4" fontId="0" fillId="0" borderId="0" xfId="0" applyNumberFormat="1" applyBorder="1" applyAlignment="1">
      <alignment vertic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5" borderId="1" xfId="0" applyNumberFormat="1" applyFill="1" applyBorder="1"/>
    <xf numFmtId="4" fontId="0" fillId="5" borderId="1" xfId="0" applyNumberFormat="1" applyFill="1" applyBorder="1" applyAlignment="1">
      <alignment horizontal="center"/>
    </xf>
    <xf numFmtId="4" fontId="0" fillId="5" borderId="1" xfId="0" applyNumberFormat="1" applyFill="1" applyBorder="1"/>
    <xf numFmtId="4" fontId="0" fillId="6" borderId="1" xfId="0" applyNumberFormat="1" applyFill="1" applyBorder="1" applyAlignment="1">
      <alignment horizontal="center" vertical="center" wrapText="1"/>
    </xf>
    <xf numFmtId="4" fontId="0" fillId="6" borderId="1" xfId="0" applyNumberFormat="1" applyFill="1" applyBorder="1" applyAlignment="1">
      <alignment horizontal="center"/>
    </xf>
    <xf numFmtId="165" fontId="0" fillId="5" borderId="1" xfId="0" applyNumberFormat="1" applyFill="1" applyBorder="1"/>
    <xf numFmtId="10" fontId="0" fillId="0" borderId="0" xfId="1" applyNumberFormat="1" applyFont="1"/>
    <xf numFmtId="4" fontId="0" fillId="0" borderId="1" xfId="0" applyNumberFormat="1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10" fillId="7" borderId="1" xfId="0" applyNumberFormat="1" applyFont="1" applyFill="1" applyBorder="1" applyAlignment="1">
      <alignment horizontal="center"/>
    </xf>
    <xf numFmtId="4" fontId="6" fillId="0" borderId="10" xfId="0" applyNumberFormat="1" applyFont="1" applyBorder="1" applyAlignment="1">
      <alignment horizontal="center" vertical="center" wrapText="1"/>
    </xf>
    <xf numFmtId="4" fontId="6" fillId="0" borderId="14" xfId="0" applyNumberFormat="1" applyFont="1" applyBorder="1" applyAlignment="1">
      <alignment horizontal="center" vertical="center" wrapText="1"/>
    </xf>
    <xf numFmtId="4" fontId="7" fillId="0" borderId="0" xfId="0" applyNumberFormat="1" applyFont="1" applyBorder="1" applyAlignment="1">
      <alignment horizontal="center" vertical="center"/>
    </xf>
    <xf numFmtId="4" fontId="6" fillId="0" borderId="0" xfId="0" applyNumberFormat="1" applyFont="1" applyBorder="1"/>
    <xf numFmtId="4" fontId="7" fillId="0" borderId="0" xfId="0" applyNumberFormat="1" applyFont="1" applyBorder="1" applyAlignment="1">
      <alignment vertical="center"/>
    </xf>
    <xf numFmtId="4" fontId="6" fillId="0" borderId="0" xfId="0" applyNumberFormat="1" applyFont="1" applyBorder="1" applyAlignment="1">
      <alignment wrapText="1"/>
    </xf>
    <xf numFmtId="4" fontId="6" fillId="0" borderId="0" xfId="0" applyNumberFormat="1" applyFont="1" applyBorder="1" applyAlignment="1">
      <alignment vertical="center" wrapText="1"/>
    </xf>
    <xf numFmtId="4" fontId="0" fillId="0" borderId="4" xfId="0" applyNumberFormat="1" applyBorder="1"/>
    <xf numFmtId="4" fontId="0" fillId="0" borderId="4" xfId="0" applyNumberFormat="1" applyBorder="1" applyAlignment="1">
      <alignment horizontal="center"/>
    </xf>
    <xf numFmtId="4" fontId="0" fillId="0" borderId="4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4" fontId="1" fillId="0" borderId="12" xfId="0" applyNumberFormat="1" applyFont="1" applyBorder="1" applyAlignment="1"/>
    <xf numFmtId="0" fontId="11" fillId="0" borderId="0" xfId="3"/>
    <xf numFmtId="42" fontId="0" fillId="0" borderId="0" xfId="4" applyFont="1"/>
    <xf numFmtId="44" fontId="0" fillId="0" borderId="0" xfId="5" applyFont="1"/>
    <xf numFmtId="0" fontId="11" fillId="6" borderId="4" xfId="3" applyFill="1" applyBorder="1" applyAlignment="1">
      <alignment horizontal="center"/>
    </xf>
    <xf numFmtId="0" fontId="11" fillId="0" borderId="0" xfId="3" applyFill="1"/>
    <xf numFmtId="0" fontId="11" fillId="6" borderId="1" xfId="3" applyFont="1" applyFill="1" applyBorder="1" applyAlignment="1">
      <alignment horizontal="center"/>
    </xf>
    <xf numFmtId="42" fontId="0" fillId="0" borderId="0" xfId="4" applyFont="1" applyBorder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2" fillId="0" borderId="0" xfId="3" applyFont="1" applyAlignment="1">
      <alignment horizontal="center"/>
    </xf>
    <xf numFmtId="0" fontId="11" fillId="0" borderId="0" xfId="3" applyFill="1" applyBorder="1" applyAlignment="1">
      <alignment horizontal="center"/>
    </xf>
    <xf numFmtId="0" fontId="11" fillId="6" borderId="1" xfId="3" applyFill="1" applyBorder="1" applyAlignment="1">
      <alignment horizontal="center"/>
    </xf>
    <xf numFmtId="0" fontId="11" fillId="0" borderId="15" xfId="3" applyFill="1" applyBorder="1" applyAlignment="1">
      <alignment horizontal="center"/>
    </xf>
    <xf numFmtId="44" fontId="0" fillId="0" borderId="1" xfId="5" applyFont="1" applyBorder="1" applyAlignment="1">
      <alignment horizontal="center"/>
    </xf>
    <xf numFmtId="0" fontId="11" fillId="0" borderId="1" xfId="3" applyBorder="1" applyAlignment="1">
      <alignment horizontal="center"/>
    </xf>
    <xf numFmtId="0" fontId="11" fillId="8" borderId="1" xfId="3" applyFill="1" applyBorder="1" applyAlignment="1">
      <alignment horizontal="center"/>
    </xf>
    <xf numFmtId="166" fontId="0" fillId="0" borderId="1" xfId="5" applyNumberFormat="1" applyFont="1" applyBorder="1" applyAlignment="1"/>
    <xf numFmtId="0" fontId="11" fillId="0" borderId="1" xfId="3" applyBorder="1"/>
    <xf numFmtId="3" fontId="11" fillId="8" borderId="1" xfId="3" applyNumberFormat="1" applyFill="1" applyBorder="1" applyAlignment="1">
      <alignment horizontal="center"/>
    </xf>
    <xf numFmtId="42" fontId="0" fillId="0" borderId="13" xfId="4" applyFont="1" applyBorder="1" applyAlignment="1"/>
    <xf numFmtId="42" fontId="0" fillId="0" borderId="15" xfId="4" applyFont="1" applyBorder="1" applyAlignment="1"/>
    <xf numFmtId="42" fontId="0" fillId="0" borderId="14" xfId="4" applyFont="1" applyBorder="1" applyAlignment="1"/>
    <xf numFmtId="4" fontId="0" fillId="0" borderId="1" xfId="0" applyNumberFormat="1" applyBorder="1" applyAlignment="1">
      <alignment horizontal="center"/>
    </xf>
    <xf numFmtId="4" fontId="0" fillId="0" borderId="2" xfId="0" applyNumberFormat="1" applyBorder="1"/>
    <xf numFmtId="4" fontId="0" fillId="0" borderId="16" xfId="0" applyNumberFormat="1" applyFill="1" applyBorder="1" applyAlignment="1">
      <alignment horizontal="center"/>
    </xf>
    <xf numFmtId="4" fontId="0" fillId="0" borderId="17" xfId="0" applyNumberFormat="1" applyFill="1" applyBorder="1"/>
    <xf numFmtId="4" fontId="0" fillId="0" borderId="17" xfId="0" applyNumberFormat="1" applyBorder="1"/>
    <xf numFmtId="4" fontId="0" fillId="0" borderId="18" xfId="0" applyNumberFormat="1" applyBorder="1"/>
    <xf numFmtId="4" fontId="0" fillId="0" borderId="22" xfId="0" applyNumberFormat="1" applyFill="1" applyBorder="1" applyAlignment="1">
      <alignment horizontal="center" vertical="center" wrapText="1"/>
    </xf>
    <xf numFmtId="4" fontId="0" fillId="0" borderId="23" xfId="0" applyNumberFormat="1" applyBorder="1"/>
    <xf numFmtId="4" fontId="0" fillId="0" borderId="22" xfId="0" applyNumberFormat="1" applyBorder="1"/>
    <xf numFmtId="4" fontId="0" fillId="0" borderId="19" xfId="0" applyNumberFormat="1" applyBorder="1"/>
    <xf numFmtId="4" fontId="0" fillId="0" borderId="20" xfId="0" applyNumberFormat="1" applyBorder="1"/>
    <xf numFmtId="4" fontId="0" fillId="0" borderId="21" xfId="0" applyNumberFormat="1" applyBorder="1"/>
    <xf numFmtId="4" fontId="0" fillId="2" borderId="1" xfId="0" applyNumberFormat="1" applyFill="1" applyBorder="1"/>
    <xf numFmtId="4" fontId="0" fillId="2" borderId="1" xfId="0" applyNumberFormat="1" applyFill="1" applyBorder="1" applyAlignment="1">
      <alignment horizontal="center"/>
    </xf>
    <xf numFmtId="166" fontId="0" fillId="4" borderId="1" xfId="5" applyNumberFormat="1" applyFont="1" applyFill="1" applyBorder="1" applyAlignment="1">
      <alignment horizontal="center"/>
    </xf>
    <xf numFmtId="166" fontId="0" fillId="0" borderId="1" xfId="5" applyNumberFormat="1" applyFont="1" applyBorder="1" applyAlignment="1">
      <alignment horizontal="center"/>
    </xf>
    <xf numFmtId="0" fontId="11" fillId="0" borderId="0" xfId="3" applyFill="1" applyAlignment="1"/>
    <xf numFmtId="4" fontId="0" fillId="12" borderId="1" xfId="0" applyNumberFormat="1" applyFill="1" applyBorder="1"/>
    <xf numFmtId="3" fontId="0" fillId="12" borderId="1" xfId="0" applyNumberFormat="1" applyFill="1" applyBorder="1" applyAlignment="1">
      <alignment horizontal="center"/>
    </xf>
    <xf numFmtId="4" fontId="0" fillId="12" borderId="1" xfId="0" applyNumberFormat="1" applyFill="1" applyBorder="1" applyAlignment="1">
      <alignment horizontal="center"/>
    </xf>
    <xf numFmtId="4" fontId="0" fillId="12" borderId="13" xfId="0" applyNumberFormat="1" applyFill="1" applyBorder="1"/>
    <xf numFmtId="4" fontId="6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7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left" wrapText="1"/>
    </xf>
    <xf numFmtId="4" fontId="6" fillId="0" borderId="2" xfId="0" applyNumberFormat="1" applyFont="1" applyBorder="1" applyAlignment="1">
      <alignment horizontal="center" vertical="center" wrapText="1"/>
    </xf>
    <xf numFmtId="4" fontId="6" fillId="0" borderId="3" xfId="0" applyNumberFormat="1" applyFont="1" applyBorder="1" applyAlignment="1">
      <alignment horizontal="center" vertical="center" wrapText="1"/>
    </xf>
    <xf numFmtId="4" fontId="6" fillId="0" borderId="4" xfId="0" applyNumberFormat="1" applyFont="1" applyBorder="1" applyAlignment="1">
      <alignment horizontal="center" vertical="center" wrapText="1"/>
    </xf>
    <xf numFmtId="4" fontId="0" fillId="2" borderId="2" xfId="0" applyNumberFormat="1" applyFill="1" applyBorder="1" applyAlignment="1">
      <alignment horizontal="center" vertical="center"/>
    </xf>
    <xf numFmtId="4" fontId="0" fillId="2" borderId="3" xfId="0" applyNumberFormat="1" applyFill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4" fontId="0" fillId="0" borderId="2" xfId="0" applyNumberFormat="1" applyBorder="1" applyAlignment="1">
      <alignment horizontal="center" wrapText="1"/>
    </xf>
    <xf numFmtId="4" fontId="0" fillId="0" borderId="4" xfId="0" applyNumberFormat="1" applyBorder="1" applyAlignment="1">
      <alignment horizontal="center" wrapText="1"/>
    </xf>
    <xf numFmtId="4" fontId="0" fillId="0" borderId="5" xfId="0" applyNumberFormat="1" applyBorder="1" applyAlignment="1">
      <alignment horizontal="justify" vertical="center" wrapText="1"/>
    </xf>
    <xf numFmtId="4" fontId="0" fillId="0" borderId="11" xfId="0" applyNumberFormat="1" applyBorder="1" applyAlignment="1">
      <alignment horizontal="justify" vertical="center" wrapText="1"/>
    </xf>
    <xf numFmtId="4" fontId="0" fillId="0" borderId="6" xfId="0" applyNumberFormat="1" applyBorder="1" applyAlignment="1">
      <alignment horizontal="justify" vertical="center" wrapText="1"/>
    </xf>
    <xf numFmtId="4" fontId="0" fillId="0" borderId="9" xfId="0" applyNumberFormat="1" applyBorder="1" applyAlignment="1">
      <alignment horizontal="justify" vertical="center" wrapText="1"/>
    </xf>
    <xf numFmtId="4" fontId="0" fillId="0" borderId="0" xfId="0" applyNumberFormat="1" applyBorder="1" applyAlignment="1">
      <alignment horizontal="justify" vertical="center" wrapText="1"/>
    </xf>
    <xf numFmtId="4" fontId="0" fillId="0" borderId="10" xfId="0" applyNumberFormat="1" applyBorder="1" applyAlignment="1">
      <alignment horizontal="justify" vertical="center" wrapText="1"/>
    </xf>
    <xf numFmtId="4" fontId="0" fillId="0" borderId="7" xfId="0" applyNumberFormat="1" applyBorder="1" applyAlignment="1">
      <alignment horizontal="justify" vertical="center" wrapText="1"/>
    </xf>
    <xf numFmtId="4" fontId="0" fillId="0" borderId="12" xfId="0" applyNumberFormat="1" applyBorder="1" applyAlignment="1">
      <alignment horizontal="justify" vertical="center" wrapText="1"/>
    </xf>
    <xf numFmtId="4" fontId="0" fillId="0" borderId="8" xfId="0" applyNumberFormat="1" applyBorder="1" applyAlignment="1">
      <alignment horizontal="justify" vertical="center" wrapText="1"/>
    </xf>
    <xf numFmtId="4" fontId="0" fillId="0" borderId="0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wrapText="1"/>
    </xf>
    <xf numFmtId="4" fontId="1" fillId="0" borderId="1" xfId="0" applyNumberFormat="1" applyFont="1" applyBorder="1" applyAlignment="1">
      <alignment horizontal="center"/>
    </xf>
    <xf numFmtId="4" fontId="0" fillId="0" borderId="9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2" borderId="8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6" fillId="0" borderId="6" xfId="0" applyNumberFormat="1" applyFont="1" applyBorder="1" applyAlignment="1">
      <alignment horizontal="center" vertical="center" wrapText="1"/>
    </xf>
    <xf numFmtId="4" fontId="6" fillId="0" borderId="10" xfId="0" applyNumberFormat="1" applyFont="1" applyBorder="1" applyAlignment="1">
      <alignment horizontal="center" vertical="center" wrapText="1"/>
    </xf>
    <xf numFmtId="4" fontId="6" fillId="0" borderId="8" xfId="0" applyNumberFormat="1" applyFon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Fill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/>
    </xf>
    <xf numFmtId="4" fontId="0" fillId="10" borderId="5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10" borderId="7" xfId="0" applyNumberFormat="1" applyFill="1" applyBorder="1" applyAlignment="1">
      <alignment horizontal="center"/>
    </xf>
    <xf numFmtId="4" fontId="0" fillId="10" borderId="8" xfId="0" applyNumberFormat="1" applyFill="1" applyBorder="1" applyAlignment="1">
      <alignment horizontal="center"/>
    </xf>
    <xf numFmtId="0" fontId="11" fillId="6" borderId="7" xfId="3" applyFill="1" applyBorder="1" applyAlignment="1">
      <alignment horizontal="center"/>
    </xf>
    <xf numFmtId="0" fontId="11" fillId="6" borderId="8" xfId="3" applyFill="1" applyBorder="1" applyAlignment="1">
      <alignment horizontal="center"/>
    </xf>
    <xf numFmtId="0" fontId="11" fillId="0" borderId="5" xfId="3" applyBorder="1" applyAlignment="1">
      <alignment horizontal="center" vertical="center"/>
    </xf>
    <xf numFmtId="0" fontId="11" fillId="0" borderId="11" xfId="3" applyBorder="1" applyAlignment="1">
      <alignment horizontal="center" vertical="center"/>
    </xf>
    <xf numFmtId="0" fontId="11" fillId="0" borderId="6" xfId="3" applyBorder="1" applyAlignment="1">
      <alignment horizontal="center" vertical="center"/>
    </xf>
    <xf numFmtId="0" fontId="11" fillId="0" borderId="7" xfId="3" applyBorder="1" applyAlignment="1">
      <alignment horizontal="center" vertical="center"/>
    </xf>
    <xf numFmtId="0" fontId="11" fillId="0" borderId="12" xfId="3" applyBorder="1" applyAlignment="1">
      <alignment horizontal="center" vertical="center"/>
    </xf>
    <xf numFmtId="0" fontId="11" fillId="0" borderId="8" xfId="3" applyBorder="1" applyAlignment="1">
      <alignment horizontal="center" vertical="center"/>
    </xf>
    <xf numFmtId="42" fontId="11" fillId="0" borderId="5" xfId="3" applyNumberFormat="1" applyBorder="1" applyAlignment="1">
      <alignment horizontal="center" vertical="center"/>
    </xf>
    <xf numFmtId="42" fontId="11" fillId="0" borderId="11" xfId="3" applyNumberFormat="1" applyBorder="1" applyAlignment="1">
      <alignment horizontal="center" vertical="center"/>
    </xf>
    <xf numFmtId="42" fontId="11" fillId="0" borderId="6" xfId="3" applyNumberFormat="1" applyBorder="1" applyAlignment="1">
      <alignment horizontal="center" vertical="center"/>
    </xf>
    <xf numFmtId="42" fontId="11" fillId="0" borderId="7" xfId="3" applyNumberFormat="1" applyBorder="1" applyAlignment="1">
      <alignment horizontal="center" vertical="center"/>
    </xf>
    <xf numFmtId="42" fontId="11" fillId="0" borderId="12" xfId="3" applyNumberFormat="1" applyBorder="1" applyAlignment="1">
      <alignment horizontal="center" vertical="center"/>
    </xf>
    <xf numFmtId="42" fontId="11" fillId="0" borderId="8" xfId="3" applyNumberFormat="1" applyBorder="1" applyAlignment="1">
      <alignment horizontal="center" vertical="center"/>
    </xf>
    <xf numFmtId="0" fontId="11" fillId="0" borderId="13" xfId="3" applyBorder="1" applyAlignment="1">
      <alignment horizontal="center"/>
    </xf>
    <xf numFmtId="0" fontId="11" fillId="0" borderId="15" xfId="3" applyBorder="1" applyAlignment="1">
      <alignment horizontal="center"/>
    </xf>
    <xf numFmtId="0" fontId="11" fillId="0" borderId="14" xfId="3" applyBorder="1" applyAlignment="1">
      <alignment horizontal="center"/>
    </xf>
    <xf numFmtId="42" fontId="11" fillId="0" borderId="13" xfId="3" applyNumberFormat="1" applyBorder="1" applyAlignment="1">
      <alignment horizontal="center"/>
    </xf>
    <xf numFmtId="42" fontId="11" fillId="0" borderId="15" xfId="3" applyNumberFormat="1" applyBorder="1" applyAlignment="1">
      <alignment horizontal="center"/>
    </xf>
    <xf numFmtId="42" fontId="11" fillId="0" borderId="14" xfId="3" applyNumberFormat="1" applyBorder="1" applyAlignment="1">
      <alignment horizontal="center"/>
    </xf>
    <xf numFmtId="42" fontId="11" fillId="0" borderId="1" xfId="3" applyNumberFormat="1" applyBorder="1" applyAlignment="1">
      <alignment horizontal="center"/>
    </xf>
    <xf numFmtId="0" fontId="11" fillId="0" borderId="1" xfId="3" applyBorder="1" applyAlignment="1">
      <alignment horizontal="center"/>
    </xf>
    <xf numFmtId="0" fontId="11" fillId="6" borderId="1" xfId="3" applyFont="1" applyFill="1" applyBorder="1" applyAlignment="1">
      <alignment horizontal="center"/>
    </xf>
    <xf numFmtId="42" fontId="0" fillId="0" borderId="1" xfId="4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1" fillId="6" borderId="1" xfId="3" applyFill="1" applyBorder="1" applyAlignment="1">
      <alignment horizontal="center"/>
    </xf>
    <xf numFmtId="0" fontId="11" fillId="6" borderId="4" xfId="3" applyFill="1" applyBorder="1" applyAlignment="1">
      <alignment horizontal="center"/>
    </xf>
    <xf numFmtId="42" fontId="0" fillId="0" borderId="4" xfId="4" applyFont="1" applyBorder="1" applyAlignment="1">
      <alignment horizontal="center"/>
    </xf>
    <xf numFmtId="0" fontId="11" fillId="8" borderId="1" xfId="3" applyFill="1" applyBorder="1" applyAlignment="1">
      <alignment horizontal="center"/>
    </xf>
    <xf numFmtId="0" fontId="13" fillId="6" borderId="1" xfId="3" applyFont="1" applyFill="1" applyBorder="1" applyAlignment="1">
      <alignment horizontal="center" vertical="center"/>
    </xf>
    <xf numFmtId="0" fontId="11" fillId="6" borderId="1" xfId="3" applyFont="1" applyFill="1" applyBorder="1" applyAlignment="1">
      <alignment horizontal="center" vertical="center"/>
    </xf>
    <xf numFmtId="0" fontId="11" fillId="0" borderId="1" xfId="3" applyFont="1" applyBorder="1" applyAlignment="1">
      <alignment horizontal="center"/>
    </xf>
    <xf numFmtId="166" fontId="0" fillId="8" borderId="1" xfId="5" applyNumberFormat="1" applyFont="1" applyFill="1" applyBorder="1" applyAlignment="1">
      <alignment horizontal="center"/>
    </xf>
    <xf numFmtId="0" fontId="11" fillId="0" borderId="13" xfId="3" applyFill="1" applyBorder="1" applyAlignment="1">
      <alignment horizontal="center"/>
    </xf>
    <xf numFmtId="0" fontId="11" fillId="0" borderId="14" xfId="3" applyFill="1" applyBorder="1" applyAlignment="1">
      <alignment horizontal="center"/>
    </xf>
    <xf numFmtId="42" fontId="0" fillId="0" borderId="13" xfId="4" applyFont="1" applyFill="1" applyBorder="1" applyAlignment="1">
      <alignment horizontal="center"/>
    </xf>
    <xf numFmtId="42" fontId="0" fillId="0" borderId="14" xfId="4" applyFont="1" applyFill="1" applyBorder="1" applyAlignment="1">
      <alignment horizontal="center"/>
    </xf>
    <xf numFmtId="44" fontId="0" fillId="0" borderId="1" xfId="5" applyFont="1" applyBorder="1" applyAlignment="1">
      <alignment horizontal="center"/>
    </xf>
    <xf numFmtId="166" fontId="0" fillId="0" borderId="13" xfId="5" applyNumberFormat="1" applyFont="1" applyBorder="1" applyAlignment="1">
      <alignment horizontal="center"/>
    </xf>
    <xf numFmtId="166" fontId="0" fillId="0" borderId="14" xfId="5" applyNumberFormat="1" applyFont="1" applyBorder="1" applyAlignment="1">
      <alignment horizontal="center"/>
    </xf>
    <xf numFmtId="42" fontId="0" fillId="6" borderId="1" xfId="4" applyFont="1" applyFill="1" applyBorder="1" applyAlignment="1">
      <alignment horizontal="center"/>
    </xf>
    <xf numFmtId="166" fontId="0" fillId="0" borderId="1" xfId="5" applyNumberFormat="1" applyFont="1" applyBorder="1" applyAlignment="1">
      <alignment horizontal="center"/>
    </xf>
    <xf numFmtId="0" fontId="11" fillId="0" borderId="5" xfId="3" applyBorder="1" applyAlignment="1">
      <alignment horizontal="center"/>
    </xf>
    <xf numFmtId="0" fontId="11" fillId="0" borderId="11" xfId="3" applyBorder="1" applyAlignment="1">
      <alignment horizontal="center"/>
    </xf>
    <xf numFmtId="0" fontId="11" fillId="0" borderId="6" xfId="3" applyBorder="1" applyAlignment="1">
      <alignment horizontal="center"/>
    </xf>
    <xf numFmtId="0" fontId="11" fillId="0" borderId="9" xfId="3" applyBorder="1" applyAlignment="1">
      <alignment horizontal="center"/>
    </xf>
    <xf numFmtId="0" fontId="11" fillId="0" borderId="0" xfId="3" applyBorder="1" applyAlignment="1">
      <alignment horizontal="center"/>
    </xf>
    <xf numFmtId="0" fontId="11" fillId="0" borderId="10" xfId="3" applyBorder="1" applyAlignment="1">
      <alignment horizontal="center"/>
    </xf>
    <xf numFmtId="0" fontId="11" fillId="0" borderId="7" xfId="3" applyBorder="1" applyAlignment="1">
      <alignment horizontal="center"/>
    </xf>
    <xf numFmtId="0" fontId="11" fillId="0" borderId="12" xfId="3" applyBorder="1" applyAlignment="1">
      <alignment horizontal="center"/>
    </xf>
    <xf numFmtId="0" fontId="11" fillId="0" borderId="8" xfId="3" applyBorder="1" applyAlignment="1">
      <alignment horizontal="center"/>
    </xf>
    <xf numFmtId="4" fontId="9" fillId="0" borderId="0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5" fillId="0" borderId="0" xfId="0" applyFont="1"/>
    <xf numFmtId="0" fontId="15" fillId="2" borderId="0" xfId="0" applyFont="1" applyFill="1"/>
    <xf numFmtId="0" fontId="16" fillId="5" borderId="1" xfId="0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4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vertical="center" wrapText="1"/>
    </xf>
    <xf numFmtId="3" fontId="18" fillId="2" borderId="3" xfId="0" applyNumberFormat="1" applyFont="1" applyFill="1" applyBorder="1" applyAlignment="1">
      <alignment horizontal="center" vertical="center"/>
    </xf>
    <xf numFmtId="4" fontId="19" fillId="2" borderId="9" xfId="0" applyNumberFormat="1" applyFont="1" applyFill="1" applyBorder="1" applyAlignment="1">
      <alignment horizontal="center" vertical="center"/>
    </xf>
    <xf numFmtId="4" fontId="19" fillId="2" borderId="0" xfId="0" applyNumberFormat="1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4" fontId="19" fillId="2" borderId="7" xfId="0" applyNumberFormat="1" applyFont="1" applyFill="1" applyBorder="1" applyAlignment="1">
      <alignment horizontal="center" vertical="center"/>
    </xf>
    <xf numFmtId="4" fontId="19" fillId="2" borderId="12" xfId="0" applyNumberFormat="1" applyFont="1" applyFill="1" applyBorder="1" applyAlignment="1">
      <alignment horizontal="center" vertical="center"/>
    </xf>
    <xf numFmtId="167" fontId="19" fillId="2" borderId="5" xfId="0" applyNumberFormat="1" applyFont="1" applyFill="1" applyBorder="1" applyAlignment="1">
      <alignment horizontal="center" vertical="center"/>
    </xf>
    <xf numFmtId="167" fontId="19" fillId="2" borderId="11" xfId="0" applyNumberFormat="1" applyFont="1" applyFill="1" applyBorder="1" applyAlignment="1">
      <alignment horizontal="center" vertical="center"/>
    </xf>
    <xf numFmtId="9" fontId="15" fillId="0" borderId="0" xfId="1" applyFont="1"/>
    <xf numFmtId="167" fontId="19" fillId="2" borderId="9" xfId="0" applyNumberFormat="1" applyFont="1" applyFill="1" applyBorder="1" applyAlignment="1">
      <alignment horizontal="center" vertical="center"/>
    </xf>
    <xf numFmtId="167" fontId="19" fillId="2" borderId="0" xfId="0" applyNumberFormat="1" applyFont="1" applyFill="1" applyBorder="1" applyAlignment="1">
      <alignment horizontal="center" vertical="center"/>
    </xf>
    <xf numFmtId="3" fontId="18" fillId="2" borderId="4" xfId="0" applyNumberFormat="1" applyFont="1" applyFill="1" applyBorder="1" applyAlignment="1">
      <alignment horizontal="center" vertical="center"/>
    </xf>
    <xf numFmtId="167" fontId="19" fillId="2" borderId="7" xfId="0" applyNumberFormat="1" applyFont="1" applyFill="1" applyBorder="1" applyAlignment="1">
      <alignment horizontal="center" vertical="center"/>
    </xf>
    <xf numFmtId="167" fontId="19" fillId="2" borderId="12" xfId="0" applyNumberFormat="1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22" fillId="11" borderId="0" xfId="0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22" fillId="13" borderId="0" xfId="0" applyFont="1" applyFill="1" applyAlignment="1">
      <alignment horizontal="center" vertical="center"/>
    </xf>
    <xf numFmtId="0" fontId="23" fillId="9" borderId="0" xfId="0" applyFont="1" applyFill="1" applyAlignment="1">
      <alignment vertical="center"/>
    </xf>
    <xf numFmtId="3" fontId="23" fillId="9" borderId="0" xfId="0" applyNumberFormat="1" applyFont="1" applyFill="1" applyAlignment="1">
      <alignment horizontal="center" vertical="center"/>
    </xf>
    <xf numFmtId="0" fontId="23" fillId="9" borderId="0" xfId="0" applyFont="1" applyFill="1" applyAlignment="1">
      <alignment horizontal="left" vertical="center"/>
    </xf>
    <xf numFmtId="0" fontId="23" fillId="14" borderId="0" xfId="0" applyFont="1" applyFill="1" applyAlignment="1">
      <alignment horizontal="center" vertical="center"/>
    </xf>
    <xf numFmtId="3" fontId="23" fillId="14" borderId="0" xfId="0" applyNumberFormat="1" applyFont="1" applyFill="1" applyAlignment="1">
      <alignment horizontal="center" vertical="center"/>
    </xf>
    <xf numFmtId="0" fontId="23" fillId="14" borderId="0" xfId="0" applyFont="1" applyFill="1" applyAlignment="1">
      <alignment horizontal="left" vertical="center"/>
    </xf>
    <xf numFmtId="166" fontId="23" fillId="9" borderId="0" xfId="2" applyNumberFormat="1" applyFont="1" applyFill="1" applyAlignment="1">
      <alignment horizontal="center" vertical="center"/>
    </xf>
    <xf numFmtId="166" fontId="23" fillId="14" borderId="0" xfId="2" applyNumberFormat="1" applyFont="1" applyFill="1" applyAlignment="1">
      <alignment horizontal="center" vertical="center"/>
    </xf>
    <xf numFmtId="166" fontId="15" fillId="2" borderId="0" xfId="0" applyNumberFormat="1" applyFont="1" applyFill="1"/>
    <xf numFmtId="44" fontId="15" fillId="2" borderId="0" xfId="0" applyNumberFormat="1" applyFont="1" applyFill="1"/>
    <xf numFmtId="0" fontId="24" fillId="2" borderId="0" xfId="0" applyFont="1" applyFill="1" applyAlignment="1">
      <alignment wrapText="1"/>
    </xf>
    <xf numFmtId="0" fontId="24" fillId="2" borderId="0" xfId="0" applyFont="1" applyFill="1"/>
    <xf numFmtId="0" fontId="16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166" fontId="24" fillId="2" borderId="0" xfId="0" applyNumberFormat="1" applyFont="1" applyFill="1"/>
    <xf numFmtId="166" fontId="24" fillId="2" borderId="1" xfId="0" applyNumberFormat="1" applyFont="1" applyFill="1" applyBorder="1"/>
    <xf numFmtId="166" fontId="25" fillId="0" borderId="18" xfId="0" applyNumberFormat="1" applyFont="1" applyFill="1" applyBorder="1"/>
    <xf numFmtId="166" fontId="25" fillId="2" borderId="21" xfId="0" applyNumberFormat="1" applyFont="1" applyFill="1" applyBorder="1"/>
    <xf numFmtId="0" fontId="26" fillId="0" borderId="16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26" fillId="2" borderId="19" xfId="0" applyFont="1" applyFill="1" applyBorder="1" applyAlignment="1">
      <alignment horizontal="center"/>
    </xf>
    <xf numFmtId="0" fontId="26" fillId="2" borderId="20" xfId="0" applyFont="1" applyFill="1" applyBorder="1" applyAlignment="1">
      <alignment horizontal="center"/>
    </xf>
    <xf numFmtId="3" fontId="0" fillId="0" borderId="0" xfId="0" applyNumberFormat="1"/>
    <xf numFmtId="0" fontId="20" fillId="2" borderId="0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 wrapText="1"/>
    </xf>
    <xf numFmtId="3" fontId="27" fillId="2" borderId="5" xfId="0" applyNumberFormat="1" applyFont="1" applyFill="1" applyBorder="1" applyAlignment="1">
      <alignment horizontal="center" vertical="center" wrapText="1"/>
    </xf>
    <xf numFmtId="3" fontId="27" fillId="2" borderId="11" xfId="0" applyNumberFormat="1" applyFont="1" applyFill="1" applyBorder="1" applyAlignment="1">
      <alignment horizontal="center" vertical="center" wrapText="1"/>
    </xf>
    <xf numFmtId="3" fontId="27" fillId="2" borderId="9" xfId="0" applyNumberFormat="1" applyFont="1" applyFill="1" applyBorder="1" applyAlignment="1">
      <alignment horizontal="center" vertical="center" wrapText="1"/>
    </xf>
    <xf numFmtId="3" fontId="27" fillId="2" borderId="0" xfId="0" applyNumberFormat="1" applyFont="1" applyFill="1" applyBorder="1" applyAlignment="1">
      <alignment horizontal="center" vertical="center" wrapText="1"/>
    </xf>
    <xf numFmtId="3" fontId="27" fillId="2" borderId="7" xfId="0" applyNumberFormat="1" applyFont="1" applyFill="1" applyBorder="1" applyAlignment="1">
      <alignment horizontal="center" vertical="center" wrapText="1"/>
    </xf>
    <xf numFmtId="3" fontId="27" fillId="2" borderId="12" xfId="0" applyNumberFormat="1" applyFont="1" applyFill="1" applyBorder="1" applyAlignment="1">
      <alignment horizontal="center" vertical="center" wrapText="1"/>
    </xf>
  </cellXfs>
  <cellStyles count="6">
    <cellStyle name="Moneda" xfId="2" builtinId="4"/>
    <cellStyle name="Moneda [0] 2" xfId="4"/>
    <cellStyle name="Moneda 2" xfId="5"/>
    <cellStyle name="Normal" xfId="0" builtinId="0"/>
    <cellStyle name="Normal 2" xfId="3"/>
    <cellStyle name="Porcentaje" xfId="1" builtinId="5"/>
  </cellStyles>
  <dxfs count="0"/>
  <tableStyles count="0" defaultTableStyle="TableStyleMedium2" defaultPivotStyle="PivotStyleLight16"/>
  <colors>
    <mruColors>
      <color rgb="FFFFC000"/>
      <color rgb="FF006600"/>
      <color rgb="FF1FF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COSTO</a:t>
            </a:r>
            <a:r>
              <a:rPr lang="es-CO" b="1" baseline="0"/>
              <a:t> DE ENERGÍA ANUAL</a:t>
            </a:r>
            <a:endParaRPr lang="es-CO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4824582152784291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461497177284271"/>
                  <c:y val="-6.0957994173588453E-17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'INFORME con FACT'!$B$21:$B$22</c:f>
              <c:numCache>
                <c:formatCode>General</c:formatCode>
                <c:ptCount val="2"/>
              </c:numCache>
            </c:numRef>
          </c:cat>
          <c:val>
            <c:numRef>
              <c:f>'INFORME con FACT'!$C$21:$C$22</c:f>
              <c:numCache>
                <c:formatCode>_("$"* #,##0.00_);_("$"* \(#,##0.00\);_("$"* "-"??_);_(@_)</c:formatCode>
                <c:ptCount val="2"/>
                <c:pt idx="0" formatCode="_-&quot;$&quot;* #,##0_-;\-&quot;$&quot;* #,##0_-;_-&quot;$&quot;* &quot;-&quot;??_-;_-@_-">
                  <c:v>1106177.7202072539</c:v>
                </c:pt>
                <c:pt idx="1">
                  <c:v>695455.19502059999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4702776"/>
        <c:axId val="244701992"/>
      </c:barChart>
      <c:catAx>
        <c:axId val="24470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701992"/>
        <c:crosses val="autoZero"/>
        <c:auto val="1"/>
        <c:lblAlgn val="ctr"/>
        <c:lblOffset val="100"/>
        <c:noMultiLvlLbl val="0"/>
      </c:catAx>
      <c:valAx>
        <c:axId val="24470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70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207168</xdr:colOff>
      <xdr:row>3</xdr:row>
      <xdr:rowOff>233362</xdr:rowOff>
    </xdr:from>
    <xdr:ext cx="8810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2565856" y="876300"/>
              <a:ext cx="881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𝐶𝑑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2565856" y="876300"/>
              <a:ext cx="881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𝐶𝑑=𝑃∗𝑛∗𝑡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1181100</xdr:colOff>
      <xdr:row>8</xdr:row>
      <xdr:rowOff>109537</xdr:rowOff>
    </xdr:from>
    <xdr:ext cx="558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3554075" y="1833562"/>
              <a:ext cx="558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3554075" y="1833562"/>
              <a:ext cx="558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𝐸𝑡=𝐶𝑝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12</xdr:row>
      <xdr:rowOff>166687</xdr:rowOff>
    </xdr:from>
    <xdr:ext cx="3043974" cy="288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9001125" y="2452687"/>
              <a:ext cx="3043974" cy="2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𝐸𝑡</m:t>
                        </m:r>
                      </m:num>
                      <m:den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es-CO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𝑑𝑜𝑛𝑑𝑒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O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𝐾𝑏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𝐾𝑐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𝐾𝑣</m:t>
                        </m:r>
                      </m:e>
                    </m:d>
                    <m:r>
                      <a:rPr lang="es-CO" sz="1000" b="0" i="1">
                        <a:latin typeface="Cambria Math" panose="02040503050406030204" pitchFamily="18" charset="0"/>
                      </a:rPr>
                      <m:t>∗(1−</m:t>
                    </m:r>
                    <m:f>
                      <m:fPr>
                        <m:ctrlPr>
                          <a:rPr lang="es-CO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𝐾𝑎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𝑃𝑑</m:t>
                        </m:r>
                      </m:den>
                    </m:f>
                    <m:r>
                      <a:rPr lang="es-CO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9001125" y="2452687"/>
              <a:ext cx="3043974" cy="2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000" b="0" i="0">
                  <a:latin typeface="Cambria Math" panose="02040503050406030204" pitchFamily="18" charset="0"/>
                </a:rPr>
                <a:t>𝐸=𝐸𝑡/𝑅  𝑑𝑜𝑛𝑑𝑒 𝑅=(1−𝐾𝑏−𝐾𝑐−𝐾𝑣)∗(1−(𝐾𝑎∗𝑁)/𝑃𝑑)</a:t>
              </a:r>
              <a:endParaRPr lang="es-CO" sz="1000"/>
            </a:p>
          </xdr:txBody>
        </xdr:sp>
      </mc:Fallback>
    </mc:AlternateContent>
    <xdr:clientData/>
  </xdr:oneCellAnchor>
  <xdr:oneCellAnchor>
    <xdr:from>
      <xdr:col>13</xdr:col>
      <xdr:colOff>828675</xdr:colOff>
      <xdr:row>54</xdr:row>
      <xdr:rowOff>42862</xdr:rowOff>
    </xdr:from>
    <xdr:ext cx="1329275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3201650" y="10948987"/>
              <a:ext cx="1329275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𝑁𝑝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0,9∗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𝑤𝑝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𝐻𝑃𝑆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3201650" y="10948987"/>
              <a:ext cx="1329275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𝑁𝑝=  𝐸/(0,9∗𝑤𝑝∗𝐻𝑃𝑆)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154781</xdr:colOff>
      <xdr:row>35</xdr:row>
      <xdr:rowOff>130968</xdr:rowOff>
    </xdr:from>
    <xdr:to>
      <xdr:col>12</xdr:col>
      <xdr:colOff>678656</xdr:colOff>
      <xdr:row>36</xdr:row>
      <xdr:rowOff>130968</xdr:rowOff>
    </xdr:to>
    <xdr:sp macro="" textlink="">
      <xdr:nvSpPr>
        <xdr:cNvPr id="6" name="Flecha derecha 5"/>
        <xdr:cNvSpPr/>
      </xdr:nvSpPr>
      <xdr:spPr>
        <a:xfrm>
          <a:off x="11346656" y="7393781"/>
          <a:ext cx="1285875" cy="190500"/>
        </a:xfrm>
        <a:prstGeom prst="rightArrow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207168</xdr:colOff>
      <xdr:row>3</xdr:row>
      <xdr:rowOff>233362</xdr:rowOff>
    </xdr:from>
    <xdr:ext cx="8810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2942093" y="871537"/>
              <a:ext cx="881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𝐶𝑑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2942093" y="871537"/>
              <a:ext cx="881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𝐶𝑑=𝑃∗𝑛∗𝑡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1181100</xdr:colOff>
      <xdr:row>8</xdr:row>
      <xdr:rowOff>109537</xdr:rowOff>
    </xdr:from>
    <xdr:ext cx="558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3916025" y="1833562"/>
              <a:ext cx="558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3916025" y="1833562"/>
              <a:ext cx="558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𝐸𝑡=𝐶𝑝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12</xdr:row>
      <xdr:rowOff>166687</xdr:rowOff>
    </xdr:from>
    <xdr:ext cx="3043974" cy="288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12734925" y="2652712"/>
              <a:ext cx="3043974" cy="2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𝐸𝑡</m:t>
                        </m:r>
                      </m:num>
                      <m:den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es-CO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𝑑𝑜𝑛𝑑𝑒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O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𝐾𝑏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𝐾𝑐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𝐾𝑣</m:t>
                        </m:r>
                      </m:e>
                    </m:d>
                    <m:r>
                      <a:rPr lang="es-CO" sz="1000" b="0" i="1">
                        <a:latin typeface="Cambria Math" panose="02040503050406030204" pitchFamily="18" charset="0"/>
                      </a:rPr>
                      <m:t>∗(1−</m:t>
                    </m:r>
                    <m:f>
                      <m:fPr>
                        <m:ctrlPr>
                          <a:rPr lang="es-CO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𝐾𝑎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𝑃𝑑</m:t>
                        </m:r>
                      </m:den>
                    </m:f>
                    <m:r>
                      <a:rPr lang="es-CO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2734925" y="2652712"/>
              <a:ext cx="3043974" cy="2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000" b="0" i="0">
                  <a:latin typeface="Cambria Math" panose="02040503050406030204" pitchFamily="18" charset="0"/>
                </a:rPr>
                <a:t>𝐸=𝐸𝑡/𝑅  𝑑𝑜𝑛𝑑𝑒 𝑅=(1−𝐾𝑏−𝐾𝑐−𝐾𝑣)∗(1−(𝐾𝑎∗𝑁)/𝑃𝑑)</a:t>
              </a:r>
              <a:endParaRPr lang="es-CO" sz="1000"/>
            </a:p>
          </xdr:txBody>
        </xdr:sp>
      </mc:Fallback>
    </mc:AlternateContent>
    <xdr:clientData/>
  </xdr:oneCellAnchor>
  <xdr:oneCellAnchor>
    <xdr:from>
      <xdr:col>14</xdr:col>
      <xdr:colOff>828675</xdr:colOff>
      <xdr:row>54</xdr:row>
      <xdr:rowOff>42862</xdr:rowOff>
    </xdr:from>
    <xdr:ext cx="1329275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3563600" y="10948987"/>
              <a:ext cx="1329275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𝑁𝑝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0,9∗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𝑤𝑝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𝐻𝑃𝑆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3563600" y="10948987"/>
              <a:ext cx="1329275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𝑁𝑝=  𝐸/(0,9∗𝑤𝑝∗𝐻𝑃𝑆)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154781</xdr:colOff>
      <xdr:row>35</xdr:row>
      <xdr:rowOff>130968</xdr:rowOff>
    </xdr:from>
    <xdr:to>
      <xdr:col>13</xdr:col>
      <xdr:colOff>678656</xdr:colOff>
      <xdr:row>36</xdr:row>
      <xdr:rowOff>130968</xdr:rowOff>
    </xdr:to>
    <xdr:sp macro="" textlink="">
      <xdr:nvSpPr>
        <xdr:cNvPr id="6" name="Flecha derecha 5"/>
        <xdr:cNvSpPr/>
      </xdr:nvSpPr>
      <xdr:spPr>
        <a:xfrm>
          <a:off x="11365706" y="7417593"/>
          <a:ext cx="1285875" cy="190500"/>
        </a:xfrm>
        <a:prstGeom prst="rightArrow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207168</xdr:colOff>
      <xdr:row>3</xdr:row>
      <xdr:rowOff>233362</xdr:rowOff>
    </xdr:from>
    <xdr:ext cx="8810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2942093" y="871537"/>
              <a:ext cx="881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𝐶𝑑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2942093" y="871537"/>
              <a:ext cx="881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𝐶𝑑=𝑃∗𝑛∗𝑡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1181100</xdr:colOff>
      <xdr:row>9</xdr:row>
      <xdr:rowOff>109537</xdr:rowOff>
    </xdr:from>
    <xdr:ext cx="558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3916025" y="1833562"/>
              <a:ext cx="558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3916025" y="1833562"/>
              <a:ext cx="558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𝐸𝑡=𝐶𝑝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464344</xdr:colOff>
      <xdr:row>13</xdr:row>
      <xdr:rowOff>154780</xdr:rowOff>
    </xdr:from>
    <xdr:ext cx="1900712" cy="2871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11108532" y="2547936"/>
              <a:ext cx="1900712" cy="287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𝐸𝑡</m:t>
                        </m:r>
                      </m:num>
                      <m:den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es-CO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𝑑𝑜𝑛𝑑𝑒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O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𝐾𝑐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𝐾𝑣</m:t>
                        </m:r>
                      </m:e>
                    </m:d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1108532" y="2547936"/>
              <a:ext cx="1900712" cy="2871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000" b="0" i="0">
                  <a:latin typeface="Cambria Math" panose="02040503050406030204" pitchFamily="18" charset="0"/>
                </a:rPr>
                <a:t>𝐸=𝐸𝑡/𝑅  𝑑𝑜𝑛𝑑𝑒 𝑅=(1−𝐾𝑐−𝐾𝑣)</a:t>
              </a:r>
              <a:endParaRPr lang="es-CO" sz="1000"/>
            </a:p>
          </xdr:txBody>
        </xdr:sp>
      </mc:Fallback>
    </mc:AlternateContent>
    <xdr:clientData/>
  </xdr:oneCellAnchor>
  <xdr:oneCellAnchor>
    <xdr:from>
      <xdr:col>10</xdr:col>
      <xdr:colOff>828675</xdr:colOff>
      <xdr:row>55</xdr:row>
      <xdr:rowOff>42862</xdr:rowOff>
    </xdr:from>
    <xdr:ext cx="1329275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1806238" y="11056143"/>
              <a:ext cx="1329275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𝑁𝑝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0,9∗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𝑤𝑝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𝐻𝑃𝑆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1806238" y="11056143"/>
              <a:ext cx="1329275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𝑁𝑝=  𝐸/(0,9∗𝑤𝑝∗𝐻𝑃𝑆)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1143000</xdr:colOff>
      <xdr:row>56</xdr:row>
      <xdr:rowOff>42428</xdr:rowOff>
    </xdr:from>
    <xdr:to>
      <xdr:col>6</xdr:col>
      <xdr:colOff>69594</xdr:colOff>
      <xdr:row>82</xdr:row>
      <xdr:rowOff>133350</xdr:rowOff>
    </xdr:to>
    <xdr:pic>
      <xdr:nvPicPr>
        <xdr:cNvPr id="17" name="Imagen 16" descr="Suelo de madera con un planeta de fondo Foto Grati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12901178"/>
          <a:ext cx="5517894" cy="553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571500</xdr:colOff>
      <xdr:row>8</xdr:row>
      <xdr:rowOff>4762</xdr:rowOff>
    </xdr:from>
    <xdr:ext cx="584391" cy="457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7881938" y="1147762"/>
              <a:ext cx="584391" cy="457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28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2800" b="1" i="1">
                            <a:latin typeface="Cambria Math" panose="02040503050406030204" pitchFamily="18" charset="0"/>
                          </a:rPr>
                          <m:t>𝒎</m:t>
                        </m:r>
                      </m:e>
                      <m:sup>
                        <m:r>
                          <a:rPr lang="es-CO" sz="28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CO" sz="2800" b="1">
                <a:latin typeface="+mj-lt"/>
              </a:endParaRPr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7881938" y="1147762"/>
              <a:ext cx="584391" cy="457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2800" b="1" i="0">
                  <a:latin typeface="Cambria Math" panose="02040503050406030204" pitchFamily="18" charset="0"/>
                </a:rPr>
                <a:t>𝒎^𝟐</a:t>
              </a:r>
              <a:endParaRPr lang="es-CO" sz="2800" b="1">
                <a:latin typeface="+mj-lt"/>
              </a:endParaRPr>
            </a:p>
          </xdr:txBody>
        </xdr:sp>
      </mc:Fallback>
    </mc:AlternateContent>
    <xdr:clientData/>
  </xdr:oneCellAnchor>
  <xdr:twoCellAnchor>
    <xdr:from>
      <xdr:col>3</xdr:col>
      <xdr:colOff>768061</xdr:colOff>
      <xdr:row>56</xdr:row>
      <xdr:rowOff>182418</xdr:rowOff>
    </xdr:from>
    <xdr:to>
      <xdr:col>5</xdr:col>
      <xdr:colOff>1622426</xdr:colOff>
      <xdr:row>60</xdr:row>
      <xdr:rowOff>95250</xdr:rowOff>
    </xdr:to>
    <xdr:sp macro="" textlink="">
      <xdr:nvSpPr>
        <xdr:cNvPr id="19" name="CuadroTexto 18"/>
        <xdr:cNvSpPr txBox="1"/>
      </xdr:nvSpPr>
      <xdr:spPr>
        <a:xfrm>
          <a:off x="6140161" y="13041168"/>
          <a:ext cx="3845215" cy="7510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O" sz="1300" b="1">
              <a:solidFill>
                <a:schemeClr val="bg1"/>
              </a:solidFill>
            </a:rPr>
            <a:t>Además de que estas obteniendo un ahorro económico, estas contribuyendo al bienestar del medioambiente y al desarrollo energético del país.</a:t>
          </a:r>
        </a:p>
        <a:p>
          <a:pPr algn="ctr"/>
          <a:endParaRPr lang="es-CO" sz="13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296141</xdr:colOff>
      <xdr:row>23</xdr:row>
      <xdr:rowOff>142874</xdr:rowOff>
    </xdr:from>
    <xdr:to>
      <xdr:col>8</xdr:col>
      <xdr:colOff>117379</xdr:colOff>
      <xdr:row>43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2621974</xdr:colOff>
      <xdr:row>34</xdr:row>
      <xdr:rowOff>113279</xdr:rowOff>
    </xdr:from>
    <xdr:to>
      <xdr:col>2</xdr:col>
      <xdr:colOff>517814</xdr:colOff>
      <xdr:row>41</xdr:row>
      <xdr:rowOff>139386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3974" y="7904729"/>
          <a:ext cx="1229590" cy="1492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2209801</xdr:colOff>
      <xdr:row>25</xdr:row>
      <xdr:rowOff>36369</xdr:rowOff>
    </xdr:from>
    <xdr:to>
      <xdr:col>2</xdr:col>
      <xdr:colOff>607868</xdr:colOff>
      <xdr:row>33</xdr:row>
      <xdr:rowOff>150868</xdr:rowOff>
    </xdr:to>
    <xdr:pic>
      <xdr:nvPicPr>
        <xdr:cNvPr id="11" name="Imagen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1" y="5999019"/>
          <a:ext cx="1731817" cy="1733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419100</xdr:colOff>
      <xdr:row>52</xdr:row>
      <xdr:rowOff>0</xdr:rowOff>
    </xdr:from>
    <xdr:ext cx="14878050" cy="687239"/>
    <xdr:sp macro="" textlink="">
      <xdr:nvSpPr>
        <xdr:cNvPr id="2" name="CuadroTexto 1"/>
        <xdr:cNvSpPr txBox="1"/>
      </xdr:nvSpPr>
      <xdr:spPr>
        <a:xfrm>
          <a:off x="419100" y="12020550"/>
          <a:ext cx="14878050" cy="687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400">
              <a:solidFill>
                <a:schemeClr val="tx1"/>
              </a:solidFill>
              <a:effectLst/>
              <a:latin typeface="Franklin Gothic Book" panose="020B0503020102020204" pitchFamily="34" charset="0"/>
              <a:ea typeface="+mn-ea"/>
              <a:cs typeface="+mn-cs"/>
            </a:rPr>
            <a:t>Nota: Todas las cotizaciones por la plataforma no son de carácter contractual e incluyen  equipos e instalación, pero no incluyen baterías (autonomía de la red) ni transporte hacia lugares fuera de Bogotá y alrededores. Para ello, pedir cotización especial a nuestro contacto.</a:t>
          </a:r>
          <a:endParaRPr lang="es-CO" sz="1400">
            <a:effectLst/>
            <a:latin typeface="Franklin Gothic Book" panose="020B0503020102020204" pitchFamily="34" charset="0"/>
          </a:endParaRPr>
        </a:p>
        <a:p>
          <a:endParaRPr lang="es-CO" sz="1200"/>
        </a:p>
      </xdr:txBody>
    </xdr:sp>
    <xdr:clientData/>
  </xdr:oneCellAnchor>
  <xdr:oneCellAnchor>
    <xdr:from>
      <xdr:col>3</xdr:col>
      <xdr:colOff>647700</xdr:colOff>
      <xdr:row>63</xdr:row>
      <xdr:rowOff>133350</xdr:rowOff>
    </xdr:from>
    <xdr:ext cx="4038600" cy="3257550"/>
    <xdr:sp macro="" textlink="">
      <xdr:nvSpPr>
        <xdr:cNvPr id="3" name="CuadroTexto 2"/>
        <xdr:cNvSpPr txBox="1"/>
      </xdr:nvSpPr>
      <xdr:spPr>
        <a:xfrm>
          <a:off x="6019800" y="14458950"/>
          <a:ext cx="4038600" cy="3257550"/>
        </a:xfrm>
        <a:prstGeom prst="rect">
          <a:avLst/>
        </a:prstGeom>
        <a:solidFill>
          <a:srgbClr val="FFC000">
            <a:alpha val="54902"/>
          </a:srgbClr>
        </a:solidFill>
        <a:ln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2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PIDE</a:t>
          </a:r>
          <a:r>
            <a:rPr lang="es-CO" sz="2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TU COTIZACIÓN OFICIAL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NOMBRE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CORREO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COMENTARIOS</a:t>
          </a:r>
          <a:endParaRPr lang="es-CO" sz="1400">
            <a:effectLst/>
          </a:endParaRPr>
        </a:p>
        <a:p>
          <a:endParaRPr lang="es-CO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1</xdr:row>
      <xdr:rowOff>59266</xdr:rowOff>
    </xdr:from>
    <xdr:to>
      <xdr:col>8</xdr:col>
      <xdr:colOff>390525</xdr:colOff>
      <xdr:row>3</xdr:row>
      <xdr:rowOff>497416</xdr:rowOff>
    </xdr:to>
    <xdr:pic>
      <xdr:nvPicPr>
        <xdr:cNvPr id="3" name="Imagen 2" descr="C:\Users\Cristian\Downloads\GIRGY SOLAR-logo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01" r="4047" b="12994"/>
        <a:stretch/>
      </xdr:blipFill>
      <xdr:spPr bwMode="auto">
        <a:xfrm>
          <a:off x="2240492" y="260349"/>
          <a:ext cx="4912783" cy="115781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207168</xdr:colOff>
      <xdr:row>3</xdr:row>
      <xdr:rowOff>233362</xdr:rowOff>
    </xdr:from>
    <xdr:ext cx="8810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0865643" y="871537"/>
              <a:ext cx="881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𝐶𝑑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0865643" y="871537"/>
              <a:ext cx="881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𝐶𝑑=𝑃∗𝑛∗𝑡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1181100</xdr:colOff>
      <xdr:row>8</xdr:row>
      <xdr:rowOff>109537</xdr:rowOff>
    </xdr:from>
    <xdr:ext cx="5584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1839575" y="1738312"/>
              <a:ext cx="558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𝐸𝑡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1839575" y="1738312"/>
              <a:ext cx="5584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𝐸𝑡=𝐶𝑝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12</xdr:row>
      <xdr:rowOff>166687</xdr:rowOff>
    </xdr:from>
    <xdr:ext cx="3043974" cy="288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10658475" y="2557462"/>
              <a:ext cx="3043974" cy="2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𝐸𝑡</m:t>
                        </m:r>
                      </m:num>
                      <m:den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𝑅</m:t>
                        </m:r>
                      </m:den>
                    </m:f>
                    <m:r>
                      <a:rPr lang="es-CO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𝑑𝑜𝑛𝑑𝑒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s-CO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CO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𝐾𝑏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𝐾𝑐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𝐾𝑣</m:t>
                        </m:r>
                      </m:e>
                    </m:d>
                    <m:r>
                      <a:rPr lang="es-CO" sz="1000" b="0" i="1">
                        <a:latin typeface="Cambria Math" panose="02040503050406030204" pitchFamily="18" charset="0"/>
                      </a:rPr>
                      <m:t>∗(1−</m:t>
                    </m:r>
                    <m:f>
                      <m:fPr>
                        <m:ctrlPr>
                          <a:rPr lang="es-CO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𝐾𝑎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r>
                          <a:rPr lang="es-CO" sz="1000" b="0" i="1">
                            <a:latin typeface="Cambria Math" panose="02040503050406030204" pitchFamily="18" charset="0"/>
                          </a:rPr>
                          <m:t>𝑃𝑑</m:t>
                        </m:r>
                      </m:den>
                    </m:f>
                    <m:r>
                      <a:rPr lang="es-CO" sz="10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0658475" y="2557462"/>
              <a:ext cx="3043974" cy="2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000" b="0" i="0">
                  <a:latin typeface="Cambria Math" panose="02040503050406030204" pitchFamily="18" charset="0"/>
                </a:rPr>
                <a:t>𝐸=𝐸𝑡/𝑅  𝑑𝑜𝑛𝑑𝑒 𝑅=(1−𝐾𝑏−𝐾𝑐−𝐾𝑣)∗(1−(𝐾𝑎∗𝑁)/𝑃𝑑)</a:t>
              </a:r>
              <a:endParaRPr lang="es-CO" sz="1000"/>
            </a:p>
          </xdr:txBody>
        </xdr:sp>
      </mc:Fallback>
    </mc:AlternateContent>
    <xdr:clientData/>
  </xdr:oneCellAnchor>
  <xdr:oneCellAnchor>
    <xdr:from>
      <xdr:col>17</xdr:col>
      <xdr:colOff>828675</xdr:colOff>
      <xdr:row>54</xdr:row>
      <xdr:rowOff>42862</xdr:rowOff>
    </xdr:from>
    <xdr:ext cx="1329275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1487150" y="10853737"/>
              <a:ext cx="1329275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𝑁𝑝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0,9∗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𝑤𝑝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𝐻𝑃𝑆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1487150" y="10853737"/>
              <a:ext cx="1329275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𝑁𝑝=  𝐸/(0,9∗𝑤𝑝∗𝐻𝑃𝑆)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154781</xdr:colOff>
      <xdr:row>35</xdr:row>
      <xdr:rowOff>130968</xdr:rowOff>
    </xdr:from>
    <xdr:to>
      <xdr:col>16</xdr:col>
      <xdr:colOff>678656</xdr:colOff>
      <xdr:row>36</xdr:row>
      <xdr:rowOff>130968</xdr:rowOff>
    </xdr:to>
    <xdr:sp macro="" textlink="">
      <xdr:nvSpPr>
        <xdr:cNvPr id="6" name="Flecha derecha 5"/>
        <xdr:cNvSpPr/>
      </xdr:nvSpPr>
      <xdr:spPr>
        <a:xfrm>
          <a:off x="9289256" y="7322343"/>
          <a:ext cx="1285875" cy="190500"/>
        </a:xfrm>
        <a:prstGeom prst="rightArrow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619125</xdr:colOff>
      <xdr:row>3</xdr:row>
      <xdr:rowOff>138112</xdr:rowOff>
    </xdr:from>
    <xdr:ext cx="16263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715125" y="709612"/>
              <a:ext cx="1626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𝐶𝑢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𝐶𝑏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𝑃𝑑𝑚𝑎𝑥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 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𝐴h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715125" y="709612"/>
              <a:ext cx="16263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𝐶𝑢=𝐶𝑏∗𝑃𝑑𝑚𝑎𝑥 𝑒𝑛 (𝐴ℎ)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838200</xdr:colOff>
      <xdr:row>15</xdr:row>
      <xdr:rowOff>52387</xdr:rowOff>
    </xdr:from>
    <xdr:ext cx="1293239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6934200" y="3671887"/>
              <a:ext cx="129323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𝑃𝑑</m:t>
                        </m:r>
                      </m:den>
                    </m:f>
                    <m:r>
                      <a:rPr lang="es-CO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en</m:t>
                    </m:r>
                    <m:r>
                      <a:rPr lang="es-CO" sz="1100" b="0" i="0">
                        <a:latin typeface="Cambria Math" panose="02040503050406030204" pitchFamily="18" charset="0"/>
                      </a:rPr>
                      <m:t> (</m:t>
                    </m:r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kAh</m:t>
                    </m:r>
                    <m:r>
                      <a:rPr lang="es-CO" sz="11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934200" y="3671887"/>
              <a:ext cx="129323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𝐶=(𝐸∗𝑁)/(𝑉∗𝑃𝑑)  en (kAh)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790575</xdr:colOff>
      <xdr:row>28</xdr:row>
      <xdr:rowOff>23812</xdr:rowOff>
    </xdr:from>
    <xdr:ext cx="1191160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6886575" y="6119812"/>
              <a:ext cx="119116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𝑁𝑏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𝐶𝑏𝑎𝑡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𝑘𝐴h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𝑘𝑊h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886575" y="6119812"/>
              <a:ext cx="1191160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𝑁𝑏=𝐶/(𝐶𝑏𝑎𝑡 )   ((𝑘𝐴ℎ))/((𝑘𝑊ℎ))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0</xdr:row>
      <xdr:rowOff>171450</xdr:rowOff>
    </xdr:from>
    <xdr:to>
      <xdr:col>12</xdr:col>
      <xdr:colOff>514791</xdr:colOff>
      <xdr:row>19</xdr:row>
      <xdr:rowOff>95250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07" t="14585" r="13972" b="17958"/>
        <a:stretch/>
      </xdr:blipFill>
      <xdr:spPr>
        <a:xfrm>
          <a:off x="2743200" y="171450"/>
          <a:ext cx="6915591" cy="354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59"/>
  <sheetViews>
    <sheetView zoomScale="80" zoomScaleNormal="80" workbookViewId="0">
      <selection activeCell="L32" sqref="L32"/>
    </sheetView>
  </sheetViews>
  <sheetFormatPr baseColWidth="10" defaultRowHeight="15"/>
  <cols>
    <col min="1" max="1" width="24" style="2" customWidth="1"/>
    <col min="2" max="2" width="11.85546875" style="2" customWidth="1"/>
    <col min="3" max="3" width="13" style="2" customWidth="1"/>
    <col min="4" max="6" width="15.5703125" style="2" customWidth="1"/>
    <col min="7" max="7" width="12.140625" style="2" customWidth="1"/>
    <col min="8" max="8" width="15.5703125" style="2" customWidth="1"/>
    <col min="9" max="9" width="16.42578125" style="2" customWidth="1"/>
    <col min="10" max="10" width="13.5703125" style="2" bestFit="1" customWidth="1"/>
    <col min="11" max="11" width="14.85546875" style="2" customWidth="1"/>
    <col min="12" max="13" width="11.42578125" style="2"/>
    <col min="14" max="14" width="20.28515625" style="2" customWidth="1"/>
    <col min="15" max="15" width="25.7109375" style="2" bestFit="1" customWidth="1"/>
    <col min="16" max="16384" width="11.42578125" style="2"/>
  </cols>
  <sheetData>
    <row r="2" spans="1:15">
      <c r="F2" s="159" t="s">
        <v>60</v>
      </c>
      <c r="G2" s="159"/>
      <c r="H2" s="159"/>
      <c r="I2" s="159"/>
      <c r="J2" s="159"/>
      <c r="K2" s="159"/>
    </row>
    <row r="3" spans="1:15" ht="20.25" customHeight="1">
      <c r="A3" s="162" t="s">
        <v>3</v>
      </c>
      <c r="B3" s="162" t="s">
        <v>54</v>
      </c>
      <c r="C3" s="162" t="s">
        <v>33</v>
      </c>
      <c r="D3" s="162" t="s">
        <v>34</v>
      </c>
      <c r="E3" s="163" t="s">
        <v>52</v>
      </c>
      <c r="F3" s="5"/>
      <c r="G3" s="4" t="s">
        <v>8</v>
      </c>
      <c r="H3" s="4" t="s">
        <v>9</v>
      </c>
      <c r="I3" s="4" t="s">
        <v>19</v>
      </c>
      <c r="J3" s="4" t="s">
        <v>10</v>
      </c>
      <c r="K3" s="4" t="s">
        <v>31</v>
      </c>
      <c r="L3" s="6" t="s">
        <v>61</v>
      </c>
      <c r="N3" s="145" t="s">
        <v>4</v>
      </c>
      <c r="O3" s="145"/>
    </row>
    <row r="4" spans="1:15" ht="25.5" customHeight="1">
      <c r="A4" s="162"/>
      <c r="B4" s="162"/>
      <c r="C4" s="162"/>
      <c r="D4" s="162"/>
      <c r="E4" s="163"/>
      <c r="F4" s="5" t="s">
        <v>64</v>
      </c>
      <c r="G4" s="3">
        <f>E23</f>
        <v>41200</v>
      </c>
      <c r="H4" s="3">
        <f>G4</f>
        <v>41200</v>
      </c>
      <c r="I4" s="3">
        <f>(1-O19-O22-O27)*(1-((O31*O35)/(O39)))</f>
        <v>0.71249999999999991</v>
      </c>
      <c r="J4" s="3">
        <f>H4/I4</f>
        <v>57824.561403508778</v>
      </c>
      <c r="K4" s="3">
        <f>J4/(0.9*O59*O52)</f>
        <v>30.889188783925629</v>
      </c>
      <c r="L4" s="3">
        <f>1.62*K4</f>
        <v>50.040485829959522</v>
      </c>
      <c r="N4" s="142"/>
      <c r="O4" s="43" t="s">
        <v>0</v>
      </c>
    </row>
    <row r="5" spans="1:15">
      <c r="A5" s="7" t="s">
        <v>35</v>
      </c>
      <c r="B5" s="5">
        <v>5250</v>
      </c>
      <c r="C5" s="8">
        <v>1</v>
      </c>
      <c r="D5" s="5">
        <v>5</v>
      </c>
      <c r="E5" s="8">
        <f>B5*C5*D5</f>
        <v>26250</v>
      </c>
      <c r="F5" s="4" t="s">
        <v>63</v>
      </c>
      <c r="G5" s="4">
        <f>G4/1000</f>
        <v>41.2</v>
      </c>
      <c r="H5" s="4">
        <f>H4/1000</f>
        <v>41.2</v>
      </c>
      <c r="I5" s="4"/>
      <c r="J5" s="4">
        <f>J4/1000</f>
        <v>57.824561403508781</v>
      </c>
      <c r="K5" s="16">
        <v>31</v>
      </c>
      <c r="L5" s="17">
        <f>1.62*K5</f>
        <v>50.220000000000006</v>
      </c>
      <c r="N5" s="143"/>
      <c r="O5" s="43" t="s">
        <v>1</v>
      </c>
    </row>
    <row r="6" spans="1:15">
      <c r="A6" s="7" t="s">
        <v>36</v>
      </c>
      <c r="B6" s="5">
        <v>1200</v>
      </c>
      <c r="C6" s="8">
        <f>0</f>
        <v>0</v>
      </c>
      <c r="D6" s="5">
        <f>0</f>
        <v>0</v>
      </c>
      <c r="E6" s="5">
        <f t="shared" ref="E6:E22" si="0">B6*C6*D6</f>
        <v>0</v>
      </c>
      <c r="F6" s="159" t="s">
        <v>59</v>
      </c>
      <c r="G6" s="159"/>
      <c r="H6" s="159"/>
      <c r="I6" s="159"/>
      <c r="J6" s="159"/>
      <c r="K6" s="159"/>
      <c r="L6" s="1"/>
      <c r="N6" s="144"/>
      <c r="O6" s="43" t="s">
        <v>2</v>
      </c>
    </row>
    <row r="7" spans="1:15">
      <c r="A7" s="7" t="s">
        <v>37</v>
      </c>
      <c r="B7" s="5">
        <v>750</v>
      </c>
      <c r="C7" s="8">
        <f>0</f>
        <v>0</v>
      </c>
      <c r="D7" s="5">
        <f>0</f>
        <v>0</v>
      </c>
      <c r="E7" s="5">
        <f t="shared" si="0"/>
        <v>0</v>
      </c>
      <c r="F7" s="7"/>
      <c r="G7" s="4" t="s">
        <v>8</v>
      </c>
      <c r="H7" s="4" t="s">
        <v>9</v>
      </c>
      <c r="I7" s="4" t="s">
        <v>19</v>
      </c>
      <c r="J7" s="4" t="s">
        <v>10</v>
      </c>
      <c r="K7" s="4" t="s">
        <v>31</v>
      </c>
      <c r="L7" s="3" t="s">
        <v>62</v>
      </c>
      <c r="O7" s="43"/>
    </row>
    <row r="8" spans="1:15">
      <c r="A8" s="7" t="s">
        <v>38</v>
      </c>
      <c r="B8" s="5">
        <v>1500</v>
      </c>
      <c r="C8" s="8">
        <f>0</f>
        <v>0</v>
      </c>
      <c r="D8" s="5">
        <f>0</f>
        <v>0</v>
      </c>
      <c r="E8" s="5">
        <f t="shared" si="0"/>
        <v>0</v>
      </c>
      <c r="F8" s="4" t="s">
        <v>64</v>
      </c>
      <c r="G8" s="4">
        <f>B29</f>
        <v>101000</v>
      </c>
      <c r="H8" s="4">
        <f>G8</f>
        <v>101000</v>
      </c>
      <c r="I8" s="4">
        <f>(1-O19-O22-O27)*(1-((O31*O35)/(O39)))</f>
        <v>0.71249999999999991</v>
      </c>
      <c r="J8" s="4">
        <f>H8/I8</f>
        <v>141754.3859649123</v>
      </c>
      <c r="K8" s="4">
        <f>J8/(0.9*O59*O52)</f>
        <v>75.723496776128371</v>
      </c>
      <c r="L8" s="3">
        <f>1.62*K8</f>
        <v>122.67206477732798</v>
      </c>
      <c r="N8" s="145" t="s">
        <v>5</v>
      </c>
      <c r="O8" s="145"/>
    </row>
    <row r="9" spans="1:15">
      <c r="A9" s="7" t="s">
        <v>39</v>
      </c>
      <c r="B9" s="5">
        <v>125</v>
      </c>
      <c r="C9" s="8">
        <f>0</f>
        <v>0</v>
      </c>
      <c r="D9" s="5">
        <f>0</f>
        <v>0</v>
      </c>
      <c r="E9" s="5">
        <f t="shared" si="0"/>
        <v>0</v>
      </c>
      <c r="K9" s="16">
        <v>76</v>
      </c>
      <c r="L9" s="17">
        <f>1.62*K9</f>
        <v>123.12</v>
      </c>
      <c r="N9" s="131"/>
      <c r="O9" s="132"/>
    </row>
    <row r="10" spans="1:15">
      <c r="A10" s="7" t="s">
        <v>40</v>
      </c>
      <c r="B10" s="5">
        <v>1000</v>
      </c>
      <c r="C10" s="8">
        <f>0</f>
        <v>0</v>
      </c>
      <c r="D10" s="5">
        <f>0</f>
        <v>0</v>
      </c>
      <c r="E10" s="5">
        <f t="shared" si="0"/>
        <v>0</v>
      </c>
      <c r="N10" s="135"/>
      <c r="O10" s="136"/>
    </row>
    <row r="11" spans="1:15">
      <c r="A11" s="7" t="s">
        <v>41</v>
      </c>
      <c r="B11" s="5">
        <v>175</v>
      </c>
      <c r="C11" s="8">
        <v>1</v>
      </c>
      <c r="D11" s="5">
        <v>24</v>
      </c>
      <c r="E11" s="5">
        <f t="shared" si="0"/>
        <v>4200</v>
      </c>
    </row>
    <row r="12" spans="1:15">
      <c r="A12" s="7" t="s">
        <v>42</v>
      </c>
      <c r="B12" s="5">
        <v>200</v>
      </c>
      <c r="C12" s="8">
        <v>1</v>
      </c>
      <c r="D12" s="5">
        <v>12</v>
      </c>
      <c r="E12" s="5">
        <f t="shared" si="0"/>
        <v>2400</v>
      </c>
      <c r="N12" s="145" t="s">
        <v>6</v>
      </c>
      <c r="O12" s="145"/>
    </row>
    <row r="13" spans="1:15" ht="15" customHeight="1">
      <c r="A13" s="7" t="s">
        <v>43</v>
      </c>
      <c r="B13" s="5">
        <v>2750</v>
      </c>
      <c r="C13" s="8">
        <f>0</f>
        <v>0</v>
      </c>
      <c r="D13" s="5">
        <f>0</f>
        <v>0</v>
      </c>
      <c r="E13" s="5">
        <f t="shared" si="0"/>
        <v>0</v>
      </c>
      <c r="N13" s="131"/>
      <c r="O13" s="132"/>
    </row>
    <row r="14" spans="1:15">
      <c r="A14" s="7" t="s">
        <v>44</v>
      </c>
      <c r="B14" s="5">
        <v>2500</v>
      </c>
      <c r="C14" s="8">
        <v>1</v>
      </c>
      <c r="D14" s="5">
        <v>1</v>
      </c>
      <c r="E14" s="5">
        <f t="shared" si="0"/>
        <v>2500</v>
      </c>
      <c r="N14" s="133"/>
      <c r="O14" s="134"/>
    </row>
    <row r="15" spans="1:15">
      <c r="A15" s="7" t="s">
        <v>45</v>
      </c>
      <c r="B15" s="5">
        <v>2250</v>
      </c>
      <c r="C15" s="8">
        <v>1</v>
      </c>
      <c r="D15" s="5">
        <v>1</v>
      </c>
      <c r="E15" s="5">
        <f t="shared" si="0"/>
        <v>2250</v>
      </c>
      <c r="N15" s="135"/>
      <c r="O15" s="136"/>
    </row>
    <row r="16" spans="1:15" ht="15" customHeight="1">
      <c r="A16" s="7" t="s">
        <v>46</v>
      </c>
      <c r="B16" s="5">
        <v>1000</v>
      </c>
      <c r="C16" s="8">
        <f>0</f>
        <v>0</v>
      </c>
      <c r="D16" s="5">
        <f>0</f>
        <v>0</v>
      </c>
      <c r="E16" s="5">
        <f t="shared" si="0"/>
        <v>0</v>
      </c>
      <c r="N16" s="139" t="s">
        <v>7</v>
      </c>
      <c r="O16" s="9">
        <v>0.05</v>
      </c>
    </row>
    <row r="17" spans="1:20" ht="18" customHeight="1">
      <c r="A17" s="7" t="s">
        <v>53</v>
      </c>
      <c r="B17" s="5">
        <v>70</v>
      </c>
      <c r="C17" s="8">
        <v>0</v>
      </c>
      <c r="D17" s="5">
        <v>0</v>
      </c>
      <c r="E17" s="5">
        <f t="shared" si="0"/>
        <v>0</v>
      </c>
      <c r="N17" s="140"/>
      <c r="O17" s="11">
        <v>0.1</v>
      </c>
    </row>
    <row r="18" spans="1:20" ht="18" customHeight="1">
      <c r="A18" s="7" t="s">
        <v>47</v>
      </c>
      <c r="B18" s="5">
        <v>13</v>
      </c>
      <c r="C18" s="8">
        <v>0</v>
      </c>
      <c r="D18" s="5">
        <v>0</v>
      </c>
      <c r="E18" s="5">
        <f t="shared" si="0"/>
        <v>0</v>
      </c>
      <c r="N18" s="141"/>
      <c r="O18" s="10"/>
    </row>
    <row r="19" spans="1:20" ht="18" customHeight="1">
      <c r="A19" s="7" t="s">
        <v>48</v>
      </c>
      <c r="B19" s="5">
        <v>1100</v>
      </c>
      <c r="C19" s="8">
        <f>0</f>
        <v>0</v>
      </c>
      <c r="D19" s="5">
        <f>0</f>
        <v>0</v>
      </c>
      <c r="E19" s="5">
        <f t="shared" si="0"/>
        <v>0</v>
      </c>
      <c r="N19" s="12" t="s">
        <v>18</v>
      </c>
      <c r="O19" s="11">
        <v>0.05</v>
      </c>
    </row>
    <row r="20" spans="1:20">
      <c r="A20" s="7" t="s">
        <v>49</v>
      </c>
      <c r="B20" s="5">
        <v>51.8</v>
      </c>
      <c r="C20" s="8">
        <f>0</f>
        <v>0</v>
      </c>
      <c r="D20" s="5">
        <f>0</f>
        <v>0</v>
      </c>
      <c r="E20" s="5">
        <f t="shared" si="0"/>
        <v>0</v>
      </c>
      <c r="N20" s="139" t="s">
        <v>11</v>
      </c>
      <c r="O20" s="9">
        <v>5.0000000000000001E-3</v>
      </c>
    </row>
    <row r="21" spans="1:20" ht="17.25" customHeight="1">
      <c r="A21" s="7" t="s">
        <v>50</v>
      </c>
      <c r="B21" s="5">
        <v>300</v>
      </c>
      <c r="C21" s="8">
        <v>3</v>
      </c>
      <c r="D21" s="5">
        <v>4</v>
      </c>
      <c r="E21" s="5">
        <f t="shared" si="0"/>
        <v>3600</v>
      </c>
      <c r="N21" s="141"/>
      <c r="O21" s="10">
        <v>0.1</v>
      </c>
    </row>
    <row r="22" spans="1:20" ht="17.25" customHeight="1">
      <c r="A22" s="7" t="s">
        <v>51</v>
      </c>
      <c r="B22" s="5">
        <v>950</v>
      </c>
      <c r="C22" s="8">
        <f>0</f>
        <v>0</v>
      </c>
      <c r="D22" s="5">
        <f>0</f>
        <v>0</v>
      </c>
      <c r="E22" s="5">
        <f t="shared" si="0"/>
        <v>0</v>
      </c>
      <c r="N22" s="12" t="s">
        <v>18</v>
      </c>
      <c r="O22" s="11">
        <v>0.1</v>
      </c>
    </row>
    <row r="23" spans="1:20" ht="15" customHeight="1">
      <c r="D23" s="5" t="s">
        <v>55</v>
      </c>
      <c r="E23" s="5">
        <f>SUM(E5:E22)</f>
        <v>41200</v>
      </c>
      <c r="F23" s="2" t="s">
        <v>64</v>
      </c>
      <c r="N23" s="139" t="s">
        <v>12</v>
      </c>
      <c r="O23" s="9">
        <v>0.05</v>
      </c>
    </row>
    <row r="24" spans="1:20">
      <c r="E24" s="13">
        <f>E23/1000</f>
        <v>41.2</v>
      </c>
      <c r="F24" s="2" t="s">
        <v>63</v>
      </c>
      <c r="N24" s="140"/>
      <c r="O24" s="11">
        <f>AVERAGE(O25,O23)</f>
        <v>0.1</v>
      </c>
    </row>
    <row r="25" spans="1:20">
      <c r="N25" s="140"/>
      <c r="O25" s="11">
        <v>0.15</v>
      </c>
    </row>
    <row r="26" spans="1:20">
      <c r="N26" s="141"/>
      <c r="O26" s="10"/>
    </row>
    <row r="27" spans="1:20" ht="18.75" customHeight="1">
      <c r="A27" s="145" t="s">
        <v>57</v>
      </c>
      <c r="B27" s="145"/>
      <c r="N27" s="12" t="s">
        <v>18</v>
      </c>
      <c r="O27" s="11">
        <v>0.1</v>
      </c>
    </row>
    <row r="28" spans="1:20" ht="18" customHeight="1">
      <c r="A28" s="7" t="s">
        <v>66</v>
      </c>
      <c r="B28" s="7">
        <v>0</v>
      </c>
      <c r="C28" s="160" t="s">
        <v>65</v>
      </c>
      <c r="D28" s="161"/>
      <c r="E28" s="161"/>
      <c r="N28" s="139" t="s">
        <v>13</v>
      </c>
      <c r="O28" s="34">
        <v>2E-3</v>
      </c>
    </row>
    <row r="29" spans="1:20" ht="18" customHeight="1">
      <c r="A29" s="7" t="s">
        <v>58</v>
      </c>
      <c r="B29" s="7">
        <v>101000</v>
      </c>
      <c r="C29" s="160"/>
      <c r="D29" s="161"/>
      <c r="E29" s="161"/>
      <c r="N29" s="140"/>
      <c r="O29" s="35">
        <v>5.0000000000000001E-3</v>
      </c>
    </row>
    <row r="30" spans="1:20" ht="18" customHeight="1">
      <c r="A30" s="7" t="s">
        <v>56</v>
      </c>
      <c r="B30" s="7">
        <f>B29*24</f>
        <v>2424000</v>
      </c>
      <c r="C30" s="160"/>
      <c r="D30" s="161"/>
      <c r="E30" s="161"/>
      <c r="N30" s="141"/>
      <c r="O30" s="36">
        <v>1.2E-2</v>
      </c>
    </row>
    <row r="31" spans="1:20" ht="18" customHeight="1">
      <c r="N31" s="12" t="s">
        <v>18</v>
      </c>
      <c r="O31" s="35">
        <v>5.0000000000000001E-3</v>
      </c>
    </row>
    <row r="32" spans="1:20">
      <c r="N32" s="139" t="s">
        <v>14</v>
      </c>
      <c r="O32" s="37">
        <v>4</v>
      </c>
      <c r="P32" s="148" t="s">
        <v>15</v>
      </c>
      <c r="Q32" s="149"/>
      <c r="R32" s="149"/>
      <c r="S32" s="149"/>
      <c r="T32" s="150"/>
    </row>
    <row r="33" spans="9:20">
      <c r="N33" s="140"/>
      <c r="O33" s="38">
        <f>AVERAGE(O32,O34)</f>
        <v>7</v>
      </c>
      <c r="P33" s="151"/>
      <c r="Q33" s="152"/>
      <c r="R33" s="152"/>
      <c r="S33" s="152"/>
      <c r="T33" s="153"/>
    </row>
    <row r="34" spans="9:20">
      <c r="N34" s="141"/>
      <c r="O34" s="38">
        <v>10</v>
      </c>
      <c r="P34" s="154"/>
      <c r="Q34" s="155"/>
      <c r="R34" s="155"/>
      <c r="S34" s="155"/>
      <c r="T34" s="156"/>
    </row>
    <row r="35" spans="9:20" ht="18.75" customHeight="1">
      <c r="N35" s="12" t="s">
        <v>18</v>
      </c>
      <c r="O35" s="39">
        <v>7</v>
      </c>
      <c r="P35" s="157"/>
      <c r="Q35" s="157"/>
      <c r="R35" s="157"/>
      <c r="S35" s="157"/>
      <c r="T35" s="157"/>
    </row>
    <row r="36" spans="9:20">
      <c r="I36" s="137" t="s">
        <v>79</v>
      </c>
      <c r="J36" s="137" t="s">
        <v>82</v>
      </c>
      <c r="K36" s="137"/>
      <c r="N36" s="139" t="s">
        <v>16</v>
      </c>
      <c r="O36" s="40">
        <v>0.8</v>
      </c>
      <c r="P36" s="148" t="s">
        <v>17</v>
      </c>
      <c r="Q36" s="149"/>
      <c r="R36" s="149"/>
      <c r="S36" s="149"/>
      <c r="T36" s="150"/>
    </row>
    <row r="37" spans="9:20">
      <c r="I37" s="137"/>
      <c r="J37" s="33" t="s">
        <v>80</v>
      </c>
      <c r="K37" s="33" t="s">
        <v>81</v>
      </c>
      <c r="N37" s="140"/>
      <c r="O37" s="40">
        <v>0.7</v>
      </c>
      <c r="P37" s="151"/>
      <c r="Q37" s="152"/>
      <c r="R37" s="152"/>
      <c r="S37" s="152"/>
      <c r="T37" s="153"/>
    </row>
    <row r="38" spans="9:20">
      <c r="I38" s="32" t="s">
        <v>83</v>
      </c>
      <c r="J38" s="15">
        <v>0.8</v>
      </c>
      <c r="K38" s="15">
        <v>0.7</v>
      </c>
      <c r="N38" s="141"/>
      <c r="O38" s="41">
        <v>0.6</v>
      </c>
      <c r="P38" s="154"/>
      <c r="Q38" s="155"/>
      <c r="R38" s="155"/>
      <c r="S38" s="155"/>
      <c r="T38" s="156"/>
    </row>
    <row r="39" spans="9:20">
      <c r="I39" s="32" t="s">
        <v>84</v>
      </c>
      <c r="J39" s="15"/>
      <c r="K39" s="15"/>
      <c r="N39" s="14" t="s">
        <v>18</v>
      </c>
      <c r="O39" s="6">
        <f>J44</f>
        <v>0.7</v>
      </c>
      <c r="P39" s="157"/>
      <c r="Q39" s="157"/>
      <c r="R39" s="157"/>
      <c r="S39" s="157"/>
      <c r="T39" s="157"/>
    </row>
    <row r="40" spans="9:20">
      <c r="I40" s="32" t="s">
        <v>85</v>
      </c>
      <c r="J40" s="15">
        <v>0.5</v>
      </c>
      <c r="K40" s="15">
        <v>0.3</v>
      </c>
    </row>
    <row r="41" spans="9:20">
      <c r="I41" s="32" t="s">
        <v>86</v>
      </c>
      <c r="J41" s="15">
        <v>0.6</v>
      </c>
      <c r="K41" s="15">
        <v>0.4</v>
      </c>
      <c r="N41" s="145" t="s">
        <v>20</v>
      </c>
      <c r="O41" s="145"/>
    </row>
    <row r="42" spans="9:20">
      <c r="I42" s="138" t="s">
        <v>87</v>
      </c>
      <c r="J42" s="130">
        <v>0.3</v>
      </c>
      <c r="K42" s="130">
        <v>0.2</v>
      </c>
      <c r="N42" s="130" t="s">
        <v>24</v>
      </c>
      <c r="O42" s="158" t="s">
        <v>23</v>
      </c>
    </row>
    <row r="43" spans="9:20">
      <c r="I43" s="138"/>
      <c r="J43" s="130"/>
      <c r="K43" s="130"/>
      <c r="N43" s="130"/>
      <c r="O43" s="158"/>
    </row>
    <row r="44" spans="9:20">
      <c r="I44" s="129" t="s">
        <v>18</v>
      </c>
      <c r="J44" s="130">
        <v>0.7</v>
      </c>
      <c r="K44" s="44"/>
      <c r="N44" s="7" t="s">
        <v>21</v>
      </c>
      <c r="O44" s="4">
        <v>6</v>
      </c>
    </row>
    <row r="45" spans="9:20">
      <c r="I45" s="129"/>
      <c r="J45" s="130"/>
      <c r="K45" s="44"/>
      <c r="N45" s="7" t="s">
        <v>22</v>
      </c>
      <c r="O45" s="4">
        <v>5</v>
      </c>
    </row>
    <row r="46" spans="9:20">
      <c r="N46" s="7" t="s">
        <v>25</v>
      </c>
      <c r="O46" s="4">
        <v>4.5</v>
      </c>
    </row>
    <row r="47" spans="9:20">
      <c r="N47" s="7" t="s">
        <v>26</v>
      </c>
      <c r="O47" s="4">
        <v>4.2</v>
      </c>
    </row>
    <row r="48" spans="9:20">
      <c r="N48" s="7" t="s">
        <v>27</v>
      </c>
      <c r="O48" s="4">
        <v>4.5</v>
      </c>
    </row>
    <row r="49" spans="14:15">
      <c r="N49" s="7" t="s">
        <v>28</v>
      </c>
      <c r="O49" s="4">
        <v>3.5</v>
      </c>
    </row>
    <row r="51" spans="14:15">
      <c r="N51" s="145" t="s">
        <v>30</v>
      </c>
      <c r="O51" s="145"/>
    </row>
    <row r="52" spans="14:15">
      <c r="N52" s="7" t="s">
        <v>29</v>
      </c>
      <c r="O52" s="6">
        <v>8</v>
      </c>
    </row>
    <row r="54" spans="14:15">
      <c r="N54" s="145" t="s">
        <v>32</v>
      </c>
      <c r="O54" s="145"/>
    </row>
    <row r="55" spans="14:15">
      <c r="N55" s="131"/>
      <c r="O55" s="132"/>
    </row>
    <row r="56" spans="14:15">
      <c r="N56" s="135"/>
      <c r="O56" s="136"/>
    </row>
    <row r="57" spans="14:15">
      <c r="N57" s="146" t="s">
        <v>89</v>
      </c>
      <c r="O57" s="9">
        <v>260</v>
      </c>
    </row>
    <row r="58" spans="14:15">
      <c r="N58" s="147"/>
      <c r="O58" s="10">
        <v>310</v>
      </c>
    </row>
    <row r="59" spans="14:15">
      <c r="N59" s="14" t="s">
        <v>18</v>
      </c>
      <c r="O59" s="42">
        <v>260</v>
      </c>
    </row>
  </sheetData>
  <mergeCells count="39">
    <mergeCell ref="F2:K2"/>
    <mergeCell ref="A27:B27"/>
    <mergeCell ref="C28:E30"/>
    <mergeCell ref="D3:D4"/>
    <mergeCell ref="C3:C4"/>
    <mergeCell ref="B3:B4"/>
    <mergeCell ref="A3:A4"/>
    <mergeCell ref="E3:E4"/>
    <mergeCell ref="F6:K6"/>
    <mergeCell ref="N57:N58"/>
    <mergeCell ref="P32:T34"/>
    <mergeCell ref="N36:N38"/>
    <mergeCell ref="P36:T38"/>
    <mergeCell ref="P35:T35"/>
    <mergeCell ref="P39:T39"/>
    <mergeCell ref="N41:O41"/>
    <mergeCell ref="O42:O43"/>
    <mergeCell ref="N42:N43"/>
    <mergeCell ref="N51:O51"/>
    <mergeCell ref="N54:O54"/>
    <mergeCell ref="N55:O56"/>
    <mergeCell ref="N4:N6"/>
    <mergeCell ref="N3:O3"/>
    <mergeCell ref="N8:O8"/>
    <mergeCell ref="N9:O10"/>
    <mergeCell ref="N12:O12"/>
    <mergeCell ref="I44:I45"/>
    <mergeCell ref="J44:J45"/>
    <mergeCell ref="N13:O15"/>
    <mergeCell ref="J36:K36"/>
    <mergeCell ref="I36:I37"/>
    <mergeCell ref="I42:I43"/>
    <mergeCell ref="K42:K43"/>
    <mergeCell ref="J42:J43"/>
    <mergeCell ref="N16:N18"/>
    <mergeCell ref="N20:N21"/>
    <mergeCell ref="N23:N26"/>
    <mergeCell ref="N28:N30"/>
    <mergeCell ref="N32:N3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59"/>
  <sheetViews>
    <sheetView zoomScale="80" zoomScaleNormal="80" workbookViewId="0">
      <selection activeCell="G24" sqref="G24"/>
    </sheetView>
  </sheetViews>
  <sheetFormatPr baseColWidth="10" defaultRowHeight="15"/>
  <cols>
    <col min="1" max="1" width="24" style="2" customWidth="1"/>
    <col min="2" max="3" width="11.85546875" style="2" customWidth="1"/>
    <col min="4" max="4" width="13" style="2" customWidth="1"/>
    <col min="5" max="7" width="15.5703125" style="2" customWidth="1"/>
    <col min="8" max="8" width="12.140625" style="2" customWidth="1"/>
    <col min="9" max="9" width="15.5703125" style="2" customWidth="1"/>
    <col min="10" max="10" width="16.42578125" style="2" customWidth="1"/>
    <col min="11" max="11" width="13.5703125" style="2" bestFit="1" customWidth="1"/>
    <col min="12" max="12" width="14.85546875" style="2" customWidth="1"/>
    <col min="13" max="14" width="11.42578125" style="2"/>
    <col min="15" max="15" width="20.28515625" style="2" customWidth="1"/>
    <col min="16" max="16" width="25.7109375" style="2" bestFit="1" customWidth="1"/>
    <col min="17" max="16384" width="11.42578125" style="2"/>
  </cols>
  <sheetData>
    <row r="2" spans="1:16">
      <c r="G2" s="159" t="s">
        <v>60</v>
      </c>
      <c r="H2" s="159"/>
      <c r="I2" s="159"/>
      <c r="J2" s="159"/>
      <c r="K2" s="159"/>
      <c r="L2" s="159"/>
    </row>
    <row r="3" spans="1:16" ht="20.25" customHeight="1">
      <c r="A3" s="162" t="s">
        <v>3</v>
      </c>
      <c r="B3" s="162" t="s">
        <v>54</v>
      </c>
      <c r="C3" s="69"/>
      <c r="D3" s="162" t="s">
        <v>33</v>
      </c>
      <c r="E3" s="162" t="s">
        <v>34</v>
      </c>
      <c r="F3" s="163" t="s">
        <v>52</v>
      </c>
      <c r="G3" s="19"/>
      <c r="H3" s="4" t="s">
        <v>8</v>
      </c>
      <c r="I3" s="4" t="s">
        <v>9</v>
      </c>
      <c r="J3" s="4" t="s">
        <v>19</v>
      </c>
      <c r="K3" s="4" t="s">
        <v>10</v>
      </c>
      <c r="L3" s="4" t="s">
        <v>31</v>
      </c>
      <c r="M3" s="6" t="s">
        <v>61</v>
      </c>
      <c r="O3" s="145" t="s">
        <v>4</v>
      </c>
      <c r="P3" s="145"/>
    </row>
    <row r="4" spans="1:16" ht="25.5" customHeight="1">
      <c r="A4" s="162"/>
      <c r="B4" s="162"/>
      <c r="C4" s="69"/>
      <c r="D4" s="162"/>
      <c r="E4" s="162"/>
      <c r="F4" s="163"/>
      <c r="G4" s="19" t="s">
        <v>64</v>
      </c>
      <c r="H4" s="21">
        <f>F26</f>
        <v>41200</v>
      </c>
      <c r="I4" s="21">
        <f>H4</f>
        <v>41200</v>
      </c>
      <c r="J4" s="21">
        <f>(1-P19-P22-P27)*(1-((P31*P35)/(P39)))</f>
        <v>0.71249999999999991</v>
      </c>
      <c r="K4" s="21">
        <f>I4/J4</f>
        <v>57824.561403508778</v>
      </c>
      <c r="L4" s="21">
        <f>K4/(0.9*P59*P52)</f>
        <v>30.889188783925629</v>
      </c>
      <c r="M4" s="21">
        <f>1.62*L4</f>
        <v>50.040485829959522</v>
      </c>
      <c r="O4" s="142"/>
      <c r="P4" s="43" t="s">
        <v>0</v>
      </c>
    </row>
    <row r="5" spans="1:16">
      <c r="A5" s="7" t="s">
        <v>35</v>
      </c>
      <c r="B5" s="19">
        <v>5250</v>
      </c>
      <c r="C5" s="70"/>
      <c r="D5" s="20">
        <v>1</v>
      </c>
      <c r="E5" s="19">
        <v>5</v>
      </c>
      <c r="F5" s="19">
        <f>B5*D5*E5</f>
        <v>26250</v>
      </c>
      <c r="G5" s="4" t="s">
        <v>63</v>
      </c>
      <c r="H5" s="4">
        <f>H4/1000</f>
        <v>41.2</v>
      </c>
      <c r="I5" s="4">
        <f>I4/1000</f>
        <v>41.2</v>
      </c>
      <c r="J5" s="4"/>
      <c r="K5" s="4">
        <f>K4/1000</f>
        <v>57.824561403508781</v>
      </c>
      <c r="L5" s="16">
        <v>31</v>
      </c>
      <c r="M5" s="17">
        <f>1.62*L5</f>
        <v>50.220000000000006</v>
      </c>
      <c r="O5" s="143"/>
      <c r="P5" s="43" t="s">
        <v>1</v>
      </c>
    </row>
    <row r="6" spans="1:16">
      <c r="A6" s="7" t="s">
        <v>36</v>
      </c>
      <c r="B6" s="19">
        <v>1200</v>
      </c>
      <c r="C6" s="70"/>
      <c r="D6" s="20">
        <f>0</f>
        <v>0</v>
      </c>
      <c r="E6" s="19">
        <f>0</f>
        <v>0</v>
      </c>
      <c r="F6" s="19">
        <f t="shared" ref="F6:F22" si="0">B6*D6*E6</f>
        <v>0</v>
      </c>
      <c r="G6" s="54"/>
      <c r="H6" s="54"/>
      <c r="I6" s="54"/>
      <c r="J6" s="54"/>
      <c r="K6" s="54"/>
      <c r="L6" s="54"/>
      <c r="M6" s="54"/>
      <c r="N6" s="54"/>
      <c r="O6" s="164"/>
      <c r="P6" s="43" t="s">
        <v>2</v>
      </c>
    </row>
    <row r="7" spans="1:16">
      <c r="A7" s="7" t="s">
        <v>37</v>
      </c>
      <c r="B7" s="19">
        <v>750</v>
      </c>
      <c r="C7" s="70"/>
      <c r="D7" s="20">
        <f>0</f>
        <v>0</v>
      </c>
      <c r="E7" s="19">
        <f>0</f>
        <v>0</v>
      </c>
      <c r="F7" s="19">
        <f t="shared" si="0"/>
        <v>0</v>
      </c>
      <c r="G7" s="54"/>
      <c r="H7" s="54"/>
      <c r="I7" s="54"/>
      <c r="J7" s="54"/>
      <c r="K7" s="54"/>
      <c r="L7" s="54"/>
      <c r="M7" s="54"/>
      <c r="N7" s="54"/>
      <c r="P7" s="43"/>
    </row>
    <row r="8" spans="1:16">
      <c r="A8" s="7" t="s">
        <v>38</v>
      </c>
      <c r="B8" s="19">
        <v>1500</v>
      </c>
      <c r="C8" s="70"/>
      <c r="D8" s="20">
        <f>0</f>
        <v>0</v>
      </c>
      <c r="E8" s="19">
        <f>0</f>
        <v>0</v>
      </c>
      <c r="F8" s="19">
        <f t="shared" si="0"/>
        <v>0</v>
      </c>
      <c r="G8" s="54"/>
      <c r="H8" s="54"/>
      <c r="I8" s="54"/>
      <c r="J8" s="54"/>
      <c r="K8" s="54"/>
      <c r="L8" s="54"/>
      <c r="M8" s="54"/>
      <c r="N8" s="54"/>
      <c r="O8" s="145" t="s">
        <v>5</v>
      </c>
      <c r="P8" s="145"/>
    </row>
    <row r="9" spans="1:16">
      <c r="A9" s="7" t="s">
        <v>39</v>
      </c>
      <c r="B9" s="19">
        <v>125</v>
      </c>
      <c r="C9" s="70"/>
      <c r="D9" s="20">
        <f>0</f>
        <v>0</v>
      </c>
      <c r="E9" s="19">
        <f>0</f>
        <v>0</v>
      </c>
      <c r="F9" s="19">
        <f t="shared" si="0"/>
        <v>0</v>
      </c>
      <c r="G9" s="54"/>
      <c r="H9" s="54"/>
      <c r="I9" s="54"/>
      <c r="J9" s="54"/>
      <c r="K9" s="54"/>
      <c r="L9" s="54"/>
      <c r="M9" s="54"/>
      <c r="N9" s="54"/>
      <c r="O9" s="165"/>
      <c r="P9" s="132"/>
    </row>
    <row r="10" spans="1:16">
      <c r="A10" s="7" t="s">
        <v>40</v>
      </c>
      <c r="B10" s="19">
        <v>1000</v>
      </c>
      <c r="C10" s="70"/>
      <c r="D10" s="20">
        <f>0</f>
        <v>0</v>
      </c>
      <c r="E10" s="19">
        <f>0</f>
        <v>0</v>
      </c>
      <c r="F10" s="19">
        <f t="shared" si="0"/>
        <v>0</v>
      </c>
      <c r="G10" s="54"/>
      <c r="H10" s="54"/>
      <c r="I10" s="54"/>
      <c r="J10" s="54"/>
      <c r="K10" s="54"/>
      <c r="L10" s="54"/>
      <c r="M10" s="54"/>
      <c r="N10" s="54"/>
      <c r="O10" s="166"/>
      <c r="P10" s="136"/>
    </row>
    <row r="11" spans="1:16">
      <c r="A11" s="7" t="s">
        <v>41</v>
      </c>
      <c r="B11" s="19">
        <v>175</v>
      </c>
      <c r="C11" s="70"/>
      <c r="D11" s="20">
        <v>1</v>
      </c>
      <c r="E11" s="19">
        <v>24</v>
      </c>
      <c r="F11" s="19">
        <f t="shared" si="0"/>
        <v>4200</v>
      </c>
      <c r="G11" s="54"/>
      <c r="H11" s="54"/>
      <c r="I11" s="54"/>
      <c r="J11" s="54"/>
      <c r="K11" s="54"/>
      <c r="L11" s="54"/>
      <c r="M11" s="54"/>
      <c r="N11" s="54"/>
    </row>
    <row r="12" spans="1:16">
      <c r="A12" s="7" t="s">
        <v>42</v>
      </c>
      <c r="B12" s="19">
        <v>200</v>
      </c>
      <c r="C12" s="70"/>
      <c r="D12" s="20">
        <v>1</v>
      </c>
      <c r="E12" s="19">
        <v>12</v>
      </c>
      <c r="F12" s="19">
        <f t="shared" si="0"/>
        <v>2400</v>
      </c>
      <c r="G12" s="54"/>
      <c r="H12" s="54"/>
      <c r="I12" s="54"/>
      <c r="J12" s="54"/>
      <c r="K12" s="54"/>
      <c r="L12" s="54"/>
      <c r="M12" s="54"/>
      <c r="N12" s="54"/>
      <c r="O12" s="145" t="s">
        <v>6</v>
      </c>
      <c r="P12" s="145"/>
    </row>
    <row r="13" spans="1:16" ht="15" customHeight="1">
      <c r="A13" s="7" t="s">
        <v>43</v>
      </c>
      <c r="B13" s="19">
        <v>2750</v>
      </c>
      <c r="C13" s="70"/>
      <c r="D13" s="20">
        <f>0</f>
        <v>0</v>
      </c>
      <c r="E13" s="19">
        <f>0</f>
        <v>0</v>
      </c>
      <c r="F13" s="19">
        <f t="shared" si="0"/>
        <v>0</v>
      </c>
      <c r="G13" s="54"/>
      <c r="H13" s="54"/>
      <c r="I13" s="54"/>
      <c r="J13" s="54"/>
      <c r="K13" s="54"/>
      <c r="L13" s="54"/>
      <c r="M13" s="54"/>
      <c r="N13" s="54"/>
      <c r="O13" s="165"/>
      <c r="P13" s="132"/>
    </row>
    <row r="14" spans="1:16">
      <c r="A14" s="7" t="s">
        <v>44</v>
      </c>
      <c r="B14" s="19">
        <v>2500</v>
      </c>
      <c r="C14" s="70"/>
      <c r="D14" s="20">
        <v>1</v>
      </c>
      <c r="E14" s="19">
        <v>1</v>
      </c>
      <c r="F14" s="19">
        <f t="shared" si="0"/>
        <v>2500</v>
      </c>
      <c r="G14" s="54"/>
      <c r="H14" s="54"/>
      <c r="I14" s="54"/>
      <c r="J14" s="54"/>
      <c r="K14" s="54"/>
      <c r="L14" s="54"/>
      <c r="M14" s="54"/>
      <c r="N14" s="54"/>
      <c r="O14" s="167"/>
      <c r="P14" s="134"/>
    </row>
    <row r="15" spans="1:16">
      <c r="A15" s="7" t="s">
        <v>45</v>
      </c>
      <c r="B15" s="19">
        <v>2250</v>
      </c>
      <c r="C15" s="70"/>
      <c r="D15" s="20">
        <v>1</v>
      </c>
      <c r="E15" s="19">
        <v>1</v>
      </c>
      <c r="F15" s="19">
        <f t="shared" si="0"/>
        <v>2250</v>
      </c>
      <c r="O15" s="135"/>
      <c r="P15" s="136"/>
    </row>
    <row r="16" spans="1:16" ht="15" customHeight="1">
      <c r="A16" s="7" t="s">
        <v>46</v>
      </c>
      <c r="B16" s="19">
        <v>1000</v>
      </c>
      <c r="C16" s="70"/>
      <c r="D16" s="20">
        <f>0</f>
        <v>0</v>
      </c>
      <c r="E16" s="19">
        <f>0</f>
        <v>0</v>
      </c>
      <c r="F16" s="19">
        <f t="shared" si="0"/>
        <v>0</v>
      </c>
      <c r="O16" s="139" t="s">
        <v>7</v>
      </c>
      <c r="P16" s="22">
        <v>0.05</v>
      </c>
    </row>
    <row r="17" spans="1:21" ht="18" customHeight="1">
      <c r="A17" s="7" t="s">
        <v>53</v>
      </c>
      <c r="B17" s="19">
        <v>70</v>
      </c>
      <c r="C17" s="70"/>
      <c r="D17" s="20">
        <v>0</v>
      </c>
      <c r="E17" s="19">
        <v>0</v>
      </c>
      <c r="F17" s="19">
        <f t="shared" si="0"/>
        <v>0</v>
      </c>
      <c r="O17" s="140"/>
      <c r="P17" s="26">
        <v>0.1</v>
      </c>
    </row>
    <row r="18" spans="1:21" ht="18" customHeight="1">
      <c r="A18" s="7" t="s">
        <v>47</v>
      </c>
      <c r="B18" s="19">
        <v>13</v>
      </c>
      <c r="C18" s="70"/>
      <c r="D18" s="20">
        <v>0</v>
      </c>
      <c r="E18" s="19">
        <v>0</v>
      </c>
      <c r="F18" s="19">
        <f t="shared" si="0"/>
        <v>0</v>
      </c>
      <c r="O18" s="141"/>
      <c r="P18" s="23"/>
    </row>
    <row r="19" spans="1:21" ht="18" customHeight="1">
      <c r="A19" s="7" t="s">
        <v>48</v>
      </c>
      <c r="B19" s="19">
        <v>1100</v>
      </c>
      <c r="C19" s="70"/>
      <c r="D19" s="20">
        <f>0</f>
        <v>0</v>
      </c>
      <c r="E19" s="19">
        <f>0</f>
        <v>0</v>
      </c>
      <c r="F19" s="19">
        <f t="shared" si="0"/>
        <v>0</v>
      </c>
      <c r="O19" s="24" t="s">
        <v>18</v>
      </c>
      <c r="P19" s="26">
        <v>0.05</v>
      </c>
    </row>
    <row r="20" spans="1:21">
      <c r="A20" s="7" t="s">
        <v>49</v>
      </c>
      <c r="B20" s="19">
        <v>51.8</v>
      </c>
      <c r="C20" s="70"/>
      <c r="D20" s="20">
        <f>0</f>
        <v>0</v>
      </c>
      <c r="E20" s="19">
        <f>0</f>
        <v>0</v>
      </c>
      <c r="F20" s="19">
        <f t="shared" si="0"/>
        <v>0</v>
      </c>
      <c r="O20" s="139" t="s">
        <v>11</v>
      </c>
      <c r="P20" s="22">
        <v>5.0000000000000001E-3</v>
      </c>
    </row>
    <row r="21" spans="1:21" ht="17.25" customHeight="1">
      <c r="A21" s="7" t="s">
        <v>50</v>
      </c>
      <c r="B21" s="19">
        <v>300</v>
      </c>
      <c r="C21" s="70"/>
      <c r="D21" s="20">
        <v>3</v>
      </c>
      <c r="E21" s="19">
        <v>4</v>
      </c>
      <c r="F21" s="19">
        <f t="shared" si="0"/>
        <v>3600</v>
      </c>
      <c r="O21" s="141"/>
      <c r="P21" s="23">
        <v>0.1</v>
      </c>
    </row>
    <row r="22" spans="1:21" ht="17.25" customHeight="1">
      <c r="A22" s="7" t="s">
        <v>51</v>
      </c>
      <c r="B22" s="19">
        <v>950</v>
      </c>
      <c r="C22" s="70"/>
      <c r="D22" s="20">
        <f>0</f>
        <v>0</v>
      </c>
      <c r="E22" s="19">
        <f>0</f>
        <v>0</v>
      </c>
      <c r="F22" s="19">
        <f t="shared" si="0"/>
        <v>0</v>
      </c>
      <c r="O22" s="24" t="s">
        <v>18</v>
      </c>
      <c r="P22" s="26">
        <v>0.1</v>
      </c>
    </row>
    <row r="23" spans="1:21" ht="15" customHeight="1">
      <c r="E23" s="19" t="s">
        <v>55</v>
      </c>
      <c r="F23" s="19">
        <f>SUM(F5:F22)</f>
        <v>41200</v>
      </c>
      <c r="G23" s="2" t="s">
        <v>64</v>
      </c>
      <c r="O23" s="139" t="s">
        <v>12</v>
      </c>
      <c r="P23" s="22">
        <v>0.05</v>
      </c>
    </row>
    <row r="24" spans="1:21">
      <c r="F24" s="56">
        <f>F23/1000</f>
        <v>41.2</v>
      </c>
      <c r="G24" s="2" t="s">
        <v>63</v>
      </c>
      <c r="O24" s="140"/>
      <c r="P24" s="26">
        <f>AVERAGE(P25,P23)</f>
        <v>0.1</v>
      </c>
    </row>
    <row r="25" spans="1:21">
      <c r="E25" s="7" t="s">
        <v>90</v>
      </c>
      <c r="F25" s="4">
        <v>1</v>
      </c>
      <c r="O25" s="140"/>
      <c r="P25" s="26">
        <v>0.15</v>
      </c>
    </row>
    <row r="26" spans="1:21">
      <c r="E26" s="7" t="s">
        <v>52</v>
      </c>
      <c r="F26" s="4">
        <f>(F23*F25)</f>
        <v>41200</v>
      </c>
      <c r="O26" s="141"/>
      <c r="P26" s="23"/>
    </row>
    <row r="27" spans="1:21" ht="18.75" customHeight="1">
      <c r="A27" s="54"/>
      <c r="B27" s="54"/>
      <c r="C27" s="54"/>
      <c r="D27" s="52"/>
      <c r="E27" s="52"/>
      <c r="F27" s="52"/>
      <c r="O27" s="24" t="s">
        <v>18</v>
      </c>
      <c r="P27" s="26">
        <v>0.1</v>
      </c>
    </row>
    <row r="28" spans="1:21" ht="18" customHeight="1">
      <c r="A28" s="52"/>
      <c r="B28" s="52"/>
      <c r="C28" s="52"/>
      <c r="D28" s="55"/>
      <c r="E28" s="55"/>
      <c r="F28" s="55"/>
      <c r="O28" s="139" t="s">
        <v>13</v>
      </c>
      <c r="P28" s="34">
        <v>2E-3</v>
      </c>
    </row>
    <row r="29" spans="1:21" ht="18" customHeight="1">
      <c r="A29" s="52"/>
      <c r="B29" s="52"/>
      <c r="C29" s="52"/>
      <c r="D29" s="55"/>
      <c r="E29" s="55"/>
      <c r="F29" s="55"/>
      <c r="O29" s="140"/>
      <c r="P29" s="35">
        <v>5.0000000000000001E-3</v>
      </c>
    </row>
    <row r="30" spans="1:21" ht="18" customHeight="1">
      <c r="A30" s="52"/>
      <c r="B30" s="52"/>
      <c r="C30" s="52"/>
      <c r="D30" s="55"/>
      <c r="E30" s="55"/>
      <c r="F30" s="55"/>
      <c r="O30" s="141"/>
      <c r="P30" s="36">
        <v>1.2E-2</v>
      </c>
    </row>
    <row r="31" spans="1:21" ht="18" customHeight="1">
      <c r="A31" s="52"/>
      <c r="B31" s="52"/>
      <c r="C31" s="52"/>
      <c r="D31" s="52"/>
      <c r="E31" s="52"/>
      <c r="F31" s="52"/>
      <c r="O31" s="24" t="s">
        <v>18</v>
      </c>
      <c r="P31" s="35">
        <v>5.0000000000000001E-3</v>
      </c>
    </row>
    <row r="32" spans="1:21">
      <c r="O32" s="139" t="s">
        <v>14</v>
      </c>
      <c r="P32" s="37">
        <v>4</v>
      </c>
      <c r="Q32" s="148" t="s">
        <v>15</v>
      </c>
      <c r="R32" s="149"/>
      <c r="S32" s="149"/>
      <c r="T32" s="149"/>
      <c r="U32" s="150"/>
    </row>
    <row r="33" spans="10:21">
      <c r="O33" s="140"/>
      <c r="P33" s="38">
        <f>AVERAGE(P32,P34)</f>
        <v>7</v>
      </c>
      <c r="Q33" s="151"/>
      <c r="R33" s="152"/>
      <c r="S33" s="152"/>
      <c r="T33" s="152"/>
      <c r="U33" s="153"/>
    </row>
    <row r="34" spans="10:21">
      <c r="O34" s="141"/>
      <c r="P34" s="38">
        <v>10</v>
      </c>
      <c r="Q34" s="154"/>
      <c r="R34" s="155"/>
      <c r="S34" s="155"/>
      <c r="T34" s="155"/>
      <c r="U34" s="156"/>
    </row>
    <row r="35" spans="10:21" ht="18.75" customHeight="1">
      <c r="O35" s="24" t="s">
        <v>18</v>
      </c>
      <c r="P35" s="39">
        <v>7</v>
      </c>
      <c r="Q35" s="157"/>
      <c r="R35" s="157"/>
      <c r="S35" s="157"/>
      <c r="T35" s="157"/>
      <c r="U35" s="157"/>
    </row>
    <row r="36" spans="10:21">
      <c r="J36" s="137" t="s">
        <v>79</v>
      </c>
      <c r="K36" s="137" t="s">
        <v>82</v>
      </c>
      <c r="L36" s="137"/>
      <c r="O36" s="139" t="s">
        <v>16</v>
      </c>
      <c r="P36" s="40">
        <v>0.8</v>
      </c>
      <c r="Q36" s="148" t="s">
        <v>17</v>
      </c>
      <c r="R36" s="149"/>
      <c r="S36" s="149"/>
      <c r="T36" s="149"/>
      <c r="U36" s="150"/>
    </row>
    <row r="37" spans="10:21">
      <c r="J37" s="137"/>
      <c r="K37" s="33" t="s">
        <v>80</v>
      </c>
      <c r="L37" s="33" t="s">
        <v>81</v>
      </c>
      <c r="O37" s="140"/>
      <c r="P37" s="40">
        <v>0.7</v>
      </c>
      <c r="Q37" s="151"/>
      <c r="R37" s="152"/>
      <c r="S37" s="152"/>
      <c r="T37" s="152"/>
      <c r="U37" s="153"/>
    </row>
    <row r="38" spans="10:21">
      <c r="J38" s="32" t="s">
        <v>83</v>
      </c>
      <c r="K38" s="21">
        <v>0.8</v>
      </c>
      <c r="L38" s="21">
        <v>0.7</v>
      </c>
      <c r="O38" s="141"/>
      <c r="P38" s="41">
        <v>0.6</v>
      </c>
      <c r="Q38" s="154"/>
      <c r="R38" s="155"/>
      <c r="S38" s="155"/>
      <c r="T38" s="155"/>
      <c r="U38" s="156"/>
    </row>
    <row r="39" spans="10:21">
      <c r="J39" s="32" t="s">
        <v>84</v>
      </c>
      <c r="K39" s="21"/>
      <c r="L39" s="21"/>
      <c r="O39" s="31" t="s">
        <v>18</v>
      </c>
      <c r="P39" s="6">
        <f>K44</f>
        <v>0.7</v>
      </c>
      <c r="Q39" s="157"/>
      <c r="R39" s="157"/>
      <c r="S39" s="157"/>
      <c r="T39" s="157"/>
      <c r="U39" s="157"/>
    </row>
    <row r="40" spans="10:21">
      <c r="J40" s="32" t="s">
        <v>85</v>
      </c>
      <c r="K40" s="21">
        <v>0.5</v>
      </c>
      <c r="L40" s="21">
        <v>0.3</v>
      </c>
    </row>
    <row r="41" spans="10:21">
      <c r="J41" s="32" t="s">
        <v>86</v>
      </c>
      <c r="K41" s="21">
        <v>0.6</v>
      </c>
      <c r="L41" s="21">
        <v>0.4</v>
      </c>
      <c r="O41" s="145" t="s">
        <v>20</v>
      </c>
      <c r="P41" s="145"/>
    </row>
    <row r="42" spans="10:21">
      <c r="J42" s="138" t="s">
        <v>87</v>
      </c>
      <c r="K42" s="130">
        <v>0.3</v>
      </c>
      <c r="L42" s="130">
        <v>0.2</v>
      </c>
      <c r="O42" s="130" t="s">
        <v>24</v>
      </c>
      <c r="P42" s="158" t="s">
        <v>23</v>
      </c>
    </row>
    <row r="43" spans="10:21">
      <c r="J43" s="138"/>
      <c r="K43" s="130"/>
      <c r="L43" s="130"/>
      <c r="O43" s="130"/>
      <c r="P43" s="158"/>
    </row>
    <row r="44" spans="10:21">
      <c r="J44" s="129" t="s">
        <v>18</v>
      </c>
      <c r="K44" s="130">
        <v>0.7</v>
      </c>
      <c r="L44" s="44"/>
      <c r="O44" s="7" t="s">
        <v>21</v>
      </c>
      <c r="P44" s="4">
        <v>6</v>
      </c>
    </row>
    <row r="45" spans="10:21">
      <c r="J45" s="129"/>
      <c r="K45" s="130"/>
      <c r="L45" s="44"/>
      <c r="O45" s="7" t="s">
        <v>22</v>
      </c>
      <c r="P45" s="4">
        <v>5</v>
      </c>
    </row>
    <row r="46" spans="10:21">
      <c r="O46" s="7" t="s">
        <v>25</v>
      </c>
      <c r="P46" s="4">
        <v>4.5</v>
      </c>
    </row>
    <row r="47" spans="10:21">
      <c r="O47" s="7" t="s">
        <v>26</v>
      </c>
      <c r="P47" s="4">
        <v>4.2</v>
      </c>
    </row>
    <row r="48" spans="10:21">
      <c r="O48" s="7" t="s">
        <v>27</v>
      </c>
      <c r="P48" s="4">
        <v>4.5</v>
      </c>
    </row>
    <row r="49" spans="15:16">
      <c r="O49" s="7" t="s">
        <v>28</v>
      </c>
      <c r="P49" s="4">
        <v>3.5</v>
      </c>
    </row>
    <row r="51" spans="15:16">
      <c r="O51" s="145" t="s">
        <v>30</v>
      </c>
      <c r="P51" s="145"/>
    </row>
    <row r="52" spans="15:16">
      <c r="O52" s="7" t="s">
        <v>29</v>
      </c>
      <c r="P52" s="6">
        <v>8</v>
      </c>
    </row>
    <row r="54" spans="15:16">
      <c r="O54" s="145" t="s">
        <v>32</v>
      </c>
      <c r="P54" s="145"/>
    </row>
    <row r="55" spans="15:16">
      <c r="O55" s="131"/>
      <c r="P55" s="132"/>
    </row>
    <row r="56" spans="15:16">
      <c r="O56" s="135"/>
      <c r="P56" s="136"/>
    </row>
    <row r="57" spans="15:16">
      <c r="O57" s="146" t="s">
        <v>89</v>
      </c>
      <c r="P57" s="22">
        <v>260</v>
      </c>
    </row>
    <row r="58" spans="15:16">
      <c r="O58" s="147"/>
      <c r="P58" s="23">
        <v>310</v>
      </c>
    </row>
    <row r="59" spans="15:16">
      <c r="O59" s="31" t="s">
        <v>18</v>
      </c>
      <c r="P59" s="42">
        <v>260</v>
      </c>
    </row>
  </sheetData>
  <mergeCells count="36">
    <mergeCell ref="O57:O58"/>
    <mergeCell ref="Q39:U39"/>
    <mergeCell ref="O41:P41"/>
    <mergeCell ref="J42:J43"/>
    <mergeCell ref="K42:K43"/>
    <mergeCell ref="L42:L43"/>
    <mergeCell ref="O42:O43"/>
    <mergeCell ref="P42:P43"/>
    <mergeCell ref="J44:J45"/>
    <mergeCell ref="K44:K45"/>
    <mergeCell ref="O51:P51"/>
    <mergeCell ref="O54:P54"/>
    <mergeCell ref="O55:P56"/>
    <mergeCell ref="O32:O34"/>
    <mergeCell ref="Q32:U34"/>
    <mergeCell ref="Q35:U35"/>
    <mergeCell ref="J36:J37"/>
    <mergeCell ref="K36:L36"/>
    <mergeCell ref="O36:O38"/>
    <mergeCell ref="Q36:U38"/>
    <mergeCell ref="O13:P15"/>
    <mergeCell ref="O16:O18"/>
    <mergeCell ref="O20:O21"/>
    <mergeCell ref="O23:O26"/>
    <mergeCell ref="O28:O30"/>
    <mergeCell ref="O3:P3"/>
    <mergeCell ref="O4:O6"/>
    <mergeCell ref="O8:P8"/>
    <mergeCell ref="O9:P10"/>
    <mergeCell ref="O12:P12"/>
    <mergeCell ref="G2:L2"/>
    <mergeCell ref="A3:A4"/>
    <mergeCell ref="B3:B4"/>
    <mergeCell ref="D3:D4"/>
    <mergeCell ref="E3:E4"/>
    <mergeCell ref="F3:F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64"/>
  <sheetViews>
    <sheetView topLeftCell="A3" zoomScale="80" zoomScaleNormal="80" workbookViewId="0">
      <selection activeCell="B18" sqref="B18"/>
    </sheetView>
  </sheetViews>
  <sheetFormatPr baseColWidth="10" defaultRowHeight="15"/>
  <cols>
    <col min="1" max="1" width="35.7109375" style="2" customWidth="1"/>
    <col min="2" max="2" width="16.7109375" style="2" customWidth="1"/>
    <col min="3" max="3" width="13" style="2" customWidth="1"/>
    <col min="4" max="4" width="15.5703125" style="2" customWidth="1"/>
    <col min="5" max="5" width="21.140625" style="2" customWidth="1"/>
    <col min="6" max="6" width="16.42578125" style="2" customWidth="1"/>
    <col min="7" max="7" width="13.5703125" style="2" bestFit="1" customWidth="1"/>
    <col min="8" max="8" width="14.85546875" style="2" customWidth="1"/>
    <col min="9" max="10" width="11.42578125" style="2"/>
    <col min="11" max="11" width="20.28515625" style="2" customWidth="1"/>
    <col min="12" max="12" width="25.7109375" style="2" bestFit="1" customWidth="1"/>
    <col min="13" max="16384" width="11.42578125" style="2"/>
  </cols>
  <sheetData>
    <row r="2" spans="1:12">
      <c r="D2" s="54"/>
      <c r="E2" s="54"/>
      <c r="F2" s="54"/>
      <c r="G2" s="54"/>
      <c r="H2" s="54"/>
      <c r="I2" s="52"/>
    </row>
    <row r="3" spans="1:12" ht="20.25" customHeight="1">
      <c r="A3" s="58"/>
      <c r="B3" s="58"/>
      <c r="C3" s="58"/>
      <c r="D3" s="57"/>
      <c r="E3" s="53"/>
      <c r="F3" s="53"/>
      <c r="G3" s="53"/>
      <c r="H3" s="53"/>
      <c r="I3" s="53"/>
      <c r="K3" s="145" t="s">
        <v>4</v>
      </c>
      <c r="L3" s="145"/>
    </row>
    <row r="4" spans="1:12" ht="18" customHeight="1">
      <c r="A4" s="145" t="s">
        <v>57</v>
      </c>
      <c r="B4" s="145"/>
      <c r="C4" s="58"/>
      <c r="D4" s="57"/>
      <c r="E4" s="51"/>
      <c r="F4" s="51"/>
      <c r="G4" s="51"/>
      <c r="H4" s="51"/>
      <c r="I4" s="51"/>
      <c r="K4" s="142"/>
      <c r="L4" s="43" t="s">
        <v>0</v>
      </c>
    </row>
    <row r="5" spans="1:12" ht="18" customHeight="1">
      <c r="A5" s="125" t="s">
        <v>124</v>
      </c>
      <c r="B5" s="126">
        <v>193</v>
      </c>
      <c r="C5" s="58"/>
      <c r="D5" s="57"/>
      <c r="E5" s="51"/>
      <c r="F5" s="51"/>
      <c r="G5" s="51"/>
      <c r="H5" s="51"/>
      <c r="I5" s="51"/>
      <c r="K5" s="143"/>
      <c r="L5" s="43"/>
    </row>
    <row r="6" spans="1:12">
      <c r="A6" s="125" t="s">
        <v>123</v>
      </c>
      <c r="B6" s="126">
        <v>175</v>
      </c>
      <c r="D6" s="53"/>
      <c r="E6" s="53"/>
      <c r="F6" s="53"/>
      <c r="G6" s="53"/>
      <c r="H6" s="53"/>
      <c r="I6" s="51"/>
      <c r="K6" s="143"/>
      <c r="L6" s="43" t="s">
        <v>1</v>
      </c>
    </row>
    <row r="7" spans="1:12">
      <c r="A7" s="7" t="s">
        <v>131</v>
      </c>
      <c r="B7" s="84">
        <f>B6*1000</f>
        <v>175000</v>
      </c>
      <c r="C7" s="59"/>
      <c r="D7" s="86"/>
      <c r="E7" s="86"/>
      <c r="F7" s="86"/>
      <c r="G7" s="86"/>
      <c r="H7" s="86"/>
      <c r="I7" s="83"/>
      <c r="K7" s="144"/>
      <c r="L7" s="43" t="s">
        <v>2</v>
      </c>
    </row>
    <row r="8" spans="1:12">
      <c r="A8" s="7" t="s">
        <v>132</v>
      </c>
      <c r="B8" s="84">
        <f>B7/30</f>
        <v>5833.333333333333</v>
      </c>
      <c r="C8" s="59"/>
      <c r="D8" s="80"/>
      <c r="E8" s="81" t="s">
        <v>9</v>
      </c>
      <c r="F8" s="81" t="s">
        <v>19</v>
      </c>
      <c r="G8" s="81" t="s">
        <v>10</v>
      </c>
      <c r="H8" s="81" t="s">
        <v>31</v>
      </c>
      <c r="I8" s="82" t="s">
        <v>62</v>
      </c>
      <c r="L8" s="43"/>
    </row>
    <row r="9" spans="1:12">
      <c r="A9" s="125" t="s">
        <v>176</v>
      </c>
      <c r="B9" s="127">
        <v>1</v>
      </c>
      <c r="C9" s="59"/>
      <c r="D9" s="4" t="s">
        <v>64</v>
      </c>
      <c r="E9" s="4">
        <f>B10</f>
        <v>5833.333333333333</v>
      </c>
      <c r="F9" s="4">
        <f>1-L23-L28</f>
        <v>0.7</v>
      </c>
      <c r="G9" s="4">
        <f>E9/F9</f>
        <v>8333.3333333333339</v>
      </c>
      <c r="H9" s="4">
        <f>G9/(0.9*L60*L53)*K63</f>
        <v>6.3593813593813593</v>
      </c>
      <c r="I9" s="21">
        <f>2.2*H9</f>
        <v>13.990638990638992</v>
      </c>
      <c r="K9" s="145" t="s">
        <v>5</v>
      </c>
      <c r="L9" s="145"/>
    </row>
    <row r="10" spans="1:12">
      <c r="A10" s="120" t="s">
        <v>52</v>
      </c>
      <c r="B10" s="121">
        <f>B8*B9</f>
        <v>5833.333333333333</v>
      </c>
      <c r="C10" s="2" t="s">
        <v>63</v>
      </c>
      <c r="H10" s="16">
        <f>ROUNDUP(H9,0)</f>
        <v>7</v>
      </c>
      <c r="I10" s="17">
        <f>2.4*H10</f>
        <v>16.8</v>
      </c>
      <c r="K10" s="131"/>
      <c r="L10" s="132"/>
    </row>
    <row r="11" spans="1:12">
      <c r="A11" s="128" t="s">
        <v>118</v>
      </c>
      <c r="B11" s="126">
        <v>101663</v>
      </c>
      <c r="C11" s="2" t="s">
        <v>120</v>
      </c>
      <c r="K11" s="135"/>
      <c r="L11" s="136"/>
    </row>
    <row r="12" spans="1:12">
      <c r="A12" s="7" t="s">
        <v>117</v>
      </c>
      <c r="B12" s="71">
        <f>B6*12</f>
        <v>2100</v>
      </c>
      <c r="C12" s="71" t="s">
        <v>63</v>
      </c>
    </row>
    <row r="13" spans="1:12">
      <c r="A13" s="50"/>
      <c r="B13" s="25"/>
      <c r="C13" s="25"/>
      <c r="K13" s="145" t="s">
        <v>6</v>
      </c>
      <c r="L13" s="145"/>
    </row>
    <row r="14" spans="1:12" ht="15" customHeight="1">
      <c r="A14" s="50"/>
      <c r="B14" s="25"/>
      <c r="C14" s="25"/>
      <c r="K14" s="131"/>
      <c r="L14" s="132"/>
    </row>
    <row r="15" spans="1:12">
      <c r="A15" s="2" t="s">
        <v>179</v>
      </c>
      <c r="B15" s="298">
        <f>900*B6</f>
        <v>157500</v>
      </c>
      <c r="K15" s="133"/>
      <c r="L15" s="134"/>
    </row>
    <row r="16" spans="1:12">
      <c r="A16" s="52" t="s">
        <v>180</v>
      </c>
      <c r="B16" s="85">
        <f>100*B6</f>
        <v>17500</v>
      </c>
      <c r="C16" s="55"/>
      <c r="D16" s="52"/>
      <c r="K16" s="135"/>
      <c r="L16" s="136"/>
    </row>
    <row r="17" spans="1:12" ht="15" customHeight="1">
      <c r="A17" s="52" t="s">
        <v>181</v>
      </c>
      <c r="B17" s="85">
        <f>B15-B16</f>
        <v>140000</v>
      </c>
      <c r="C17" s="55"/>
      <c r="D17" s="52"/>
      <c r="K17" s="139"/>
      <c r="L17" s="22"/>
    </row>
    <row r="18" spans="1:12" ht="18" customHeight="1">
      <c r="A18" s="52"/>
      <c r="B18" s="53"/>
      <c r="C18" s="55"/>
      <c r="D18" s="52"/>
      <c r="K18" s="140"/>
      <c r="L18" s="26"/>
    </row>
    <row r="19" spans="1:12" ht="18" customHeight="1" thickBot="1">
      <c r="A19" s="52"/>
      <c r="B19" s="53"/>
      <c r="C19" s="52"/>
      <c r="D19" s="52"/>
      <c r="K19" s="141"/>
      <c r="L19" s="23"/>
    </row>
    <row r="20" spans="1:12" ht="18" customHeight="1">
      <c r="A20" s="52"/>
      <c r="B20" s="110"/>
      <c r="C20" s="111"/>
      <c r="D20" s="111"/>
      <c r="E20" s="112"/>
      <c r="F20" s="112"/>
      <c r="G20" s="113"/>
      <c r="K20" s="24" t="s">
        <v>18</v>
      </c>
      <c r="L20" s="26">
        <v>0</v>
      </c>
    </row>
    <row r="21" spans="1:12" ht="29.25" customHeight="1">
      <c r="A21" s="52"/>
      <c r="B21" s="114"/>
      <c r="C21" s="174" t="s">
        <v>125</v>
      </c>
      <c r="D21" s="174"/>
      <c r="E21" s="174"/>
      <c r="F21" s="174"/>
      <c r="G21" s="115"/>
      <c r="K21" s="139" t="s">
        <v>11</v>
      </c>
      <c r="L21" s="22">
        <v>5.0000000000000001E-3</v>
      </c>
    </row>
    <row r="22" spans="1:12" ht="17.25" customHeight="1">
      <c r="A22" s="52"/>
      <c r="B22" s="114"/>
      <c r="C22" s="174"/>
      <c r="D22" s="174"/>
      <c r="E22" s="174"/>
      <c r="F22" s="174"/>
      <c r="G22" s="115"/>
      <c r="K22" s="141"/>
      <c r="L22" s="23">
        <v>0.1</v>
      </c>
    </row>
    <row r="23" spans="1:12" ht="17.25" customHeight="1">
      <c r="A23" s="52"/>
      <c r="B23" s="114"/>
      <c r="C23" s="174"/>
      <c r="D23" s="174"/>
      <c r="E23" s="174"/>
      <c r="F23" s="174"/>
      <c r="G23" s="115"/>
      <c r="K23" s="24" t="s">
        <v>18</v>
      </c>
      <c r="L23" s="26">
        <v>0.1</v>
      </c>
    </row>
    <row r="24" spans="1:12" ht="15" customHeight="1">
      <c r="A24" s="50"/>
      <c r="B24" s="116"/>
      <c r="C24" s="174"/>
      <c r="D24" s="174"/>
      <c r="E24" s="174"/>
      <c r="F24" s="174"/>
      <c r="G24" s="115"/>
      <c r="K24" s="139" t="s">
        <v>12</v>
      </c>
      <c r="L24" s="22">
        <v>0.05</v>
      </c>
    </row>
    <row r="25" spans="1:12">
      <c r="A25" s="50"/>
      <c r="B25" s="116"/>
      <c r="C25" s="174"/>
      <c r="D25" s="174"/>
      <c r="E25" s="174"/>
      <c r="F25" s="174"/>
      <c r="G25" s="115"/>
      <c r="K25" s="140"/>
      <c r="L25" s="26">
        <f>AVERAGE(L26,L24)</f>
        <v>0.1</v>
      </c>
    </row>
    <row r="26" spans="1:12">
      <c r="A26" s="50"/>
      <c r="B26" s="116"/>
      <c r="C26" s="50"/>
      <c r="D26" s="50"/>
      <c r="E26" s="50"/>
      <c r="F26" s="50"/>
      <c r="G26" s="115"/>
      <c r="K26" s="140"/>
      <c r="L26" s="26">
        <v>0.15</v>
      </c>
    </row>
    <row r="27" spans="1:12">
      <c r="A27" s="50"/>
      <c r="B27" s="116"/>
      <c r="C27" s="50"/>
      <c r="D27" s="50"/>
      <c r="E27" s="50"/>
      <c r="F27" s="50"/>
      <c r="G27" s="115"/>
      <c r="K27" s="141"/>
      <c r="L27" s="23"/>
    </row>
    <row r="28" spans="1:12" ht="18.75" customHeight="1">
      <c r="B28" s="116"/>
      <c r="C28" s="167" t="s">
        <v>129</v>
      </c>
      <c r="D28" s="167"/>
      <c r="E28" s="167"/>
      <c r="F28" s="50">
        <v>1</v>
      </c>
      <c r="G28" s="115"/>
      <c r="K28" s="24" t="s">
        <v>18</v>
      </c>
      <c r="L28" s="26">
        <v>0.2</v>
      </c>
    </row>
    <row r="29" spans="1:12" ht="18" customHeight="1">
      <c r="B29" s="116"/>
      <c r="C29" s="7" t="s">
        <v>126</v>
      </c>
      <c r="D29" s="173"/>
      <c r="E29" s="173"/>
      <c r="F29" s="173"/>
      <c r="G29" s="115"/>
      <c r="K29" s="139"/>
      <c r="L29" s="34"/>
    </row>
    <row r="30" spans="1:12" ht="18" customHeight="1">
      <c r="B30" s="116"/>
      <c r="C30" s="109" t="s">
        <v>127</v>
      </c>
      <c r="D30" s="173"/>
      <c r="E30" s="173"/>
      <c r="F30" s="173"/>
      <c r="G30" s="115"/>
      <c r="K30" s="140"/>
      <c r="L30" s="35"/>
    </row>
    <row r="31" spans="1:12" ht="18" customHeight="1">
      <c r="B31" s="116"/>
      <c r="C31" s="109" t="s">
        <v>128</v>
      </c>
      <c r="D31" s="175"/>
      <c r="E31" s="173"/>
      <c r="F31" s="173"/>
      <c r="G31" s="115"/>
      <c r="K31" s="141"/>
      <c r="L31" s="36"/>
    </row>
    <row r="32" spans="1:12" ht="18" customHeight="1">
      <c r="B32" s="116"/>
      <c r="C32" s="80"/>
      <c r="D32" s="175"/>
      <c r="E32" s="173"/>
      <c r="F32" s="173"/>
      <c r="G32" s="115"/>
      <c r="K32" s="24" t="s">
        <v>18</v>
      </c>
      <c r="L32" s="35">
        <v>0</v>
      </c>
    </row>
    <row r="33" spans="2:17">
      <c r="B33" s="116"/>
      <c r="C33" s="171" t="s">
        <v>130</v>
      </c>
      <c r="D33" s="130"/>
      <c r="E33" s="130"/>
      <c r="F33" s="130"/>
      <c r="G33" s="115"/>
      <c r="K33" s="139"/>
      <c r="L33" s="37"/>
      <c r="M33" s="148" t="s">
        <v>15</v>
      </c>
      <c r="N33" s="149"/>
      <c r="O33" s="149"/>
      <c r="P33" s="149"/>
      <c r="Q33" s="150"/>
    </row>
    <row r="34" spans="2:17">
      <c r="B34" s="116"/>
      <c r="C34" s="130"/>
      <c r="D34" s="130"/>
      <c r="E34" s="130"/>
      <c r="F34" s="130"/>
      <c r="G34" s="115"/>
      <c r="K34" s="140"/>
      <c r="L34" s="38"/>
      <c r="M34" s="151"/>
      <c r="N34" s="152"/>
      <c r="O34" s="152"/>
      <c r="P34" s="152"/>
      <c r="Q34" s="153"/>
    </row>
    <row r="35" spans="2:17">
      <c r="B35" s="116"/>
      <c r="C35" s="50"/>
      <c r="D35" s="50"/>
      <c r="E35" s="50"/>
      <c r="F35" s="50"/>
      <c r="G35" s="115"/>
      <c r="K35" s="141"/>
      <c r="L35" s="38"/>
      <c r="M35" s="154"/>
      <c r="N35" s="155"/>
      <c r="O35" s="155"/>
      <c r="P35" s="155"/>
      <c r="Q35" s="156"/>
    </row>
    <row r="36" spans="2:17" ht="18.75" customHeight="1" thickBot="1">
      <c r="B36" s="117"/>
      <c r="C36" s="118"/>
      <c r="D36" s="118"/>
      <c r="E36" s="118"/>
      <c r="F36" s="118"/>
      <c r="G36" s="119"/>
      <c r="H36" s="50"/>
      <c r="I36" s="50"/>
      <c r="J36" s="50"/>
      <c r="K36" s="73" t="s">
        <v>18</v>
      </c>
      <c r="L36" s="39">
        <v>1</v>
      </c>
      <c r="M36" s="157"/>
      <c r="N36" s="157"/>
      <c r="O36" s="157"/>
      <c r="P36" s="157"/>
      <c r="Q36" s="157"/>
    </row>
    <row r="37" spans="2:17">
      <c r="E37" s="50"/>
      <c r="F37" s="77"/>
      <c r="G37" s="77"/>
      <c r="H37" s="77"/>
      <c r="I37" s="50"/>
      <c r="J37" s="50"/>
      <c r="K37" s="168"/>
      <c r="L37" s="40"/>
      <c r="M37" s="148" t="s">
        <v>17</v>
      </c>
      <c r="N37" s="149"/>
      <c r="O37" s="149"/>
      <c r="P37" s="149"/>
      <c r="Q37" s="150"/>
    </row>
    <row r="38" spans="2:17">
      <c r="E38" s="50"/>
      <c r="F38" s="77"/>
      <c r="G38" s="75"/>
      <c r="H38" s="75"/>
      <c r="I38" s="50"/>
      <c r="J38" s="50"/>
      <c r="K38" s="169"/>
      <c r="L38" s="40"/>
      <c r="M38" s="151"/>
      <c r="N38" s="152"/>
      <c r="O38" s="152"/>
      <c r="P38" s="152"/>
      <c r="Q38" s="153"/>
    </row>
    <row r="39" spans="2:17">
      <c r="E39" s="50"/>
      <c r="F39" s="76"/>
      <c r="G39" s="49"/>
      <c r="H39" s="49"/>
      <c r="I39" s="50"/>
      <c r="J39" s="50"/>
      <c r="K39" s="170"/>
      <c r="L39" s="41"/>
      <c r="M39" s="154"/>
      <c r="N39" s="155"/>
      <c r="O39" s="155"/>
      <c r="P39" s="155"/>
      <c r="Q39" s="156"/>
    </row>
    <row r="40" spans="2:17">
      <c r="E40" s="50"/>
      <c r="F40" s="76"/>
      <c r="G40" s="49"/>
      <c r="H40" s="49"/>
      <c r="I40" s="50"/>
      <c r="J40" s="50"/>
      <c r="K40" s="74" t="s">
        <v>18</v>
      </c>
      <c r="L40" s="6">
        <v>0</v>
      </c>
      <c r="M40" s="157"/>
      <c r="N40" s="157"/>
      <c r="O40" s="157"/>
      <c r="P40" s="157"/>
      <c r="Q40" s="157"/>
    </row>
    <row r="41" spans="2:17">
      <c r="E41" s="50"/>
      <c r="F41" s="76"/>
      <c r="G41" s="49"/>
      <c r="H41" s="49"/>
      <c r="I41" s="50"/>
      <c r="J41" s="50"/>
    </row>
    <row r="42" spans="2:17">
      <c r="E42" s="50"/>
      <c r="F42" s="76"/>
      <c r="G42" s="49"/>
      <c r="H42" s="49"/>
      <c r="I42" s="50"/>
      <c r="J42" s="50"/>
      <c r="K42" s="145" t="s">
        <v>20</v>
      </c>
      <c r="L42" s="145"/>
    </row>
    <row r="43" spans="2:17">
      <c r="E43" s="50"/>
      <c r="F43" s="78"/>
      <c r="G43" s="59"/>
      <c r="H43" s="59"/>
      <c r="I43" s="50"/>
      <c r="J43" s="50"/>
      <c r="K43" s="130" t="s">
        <v>24</v>
      </c>
      <c r="L43" s="158" t="s">
        <v>23</v>
      </c>
    </row>
    <row r="44" spans="2:17">
      <c r="E44" s="50"/>
      <c r="F44" s="78"/>
      <c r="G44" s="59"/>
      <c r="H44" s="59"/>
      <c r="I44" s="50"/>
      <c r="J44" s="50"/>
      <c r="K44" s="130"/>
      <c r="L44" s="158"/>
    </row>
    <row r="45" spans="2:17">
      <c r="E45" s="50"/>
      <c r="F45" s="79"/>
      <c r="G45" s="59"/>
      <c r="H45" s="59"/>
      <c r="I45" s="50"/>
      <c r="J45" s="50"/>
      <c r="K45" s="7" t="s">
        <v>21</v>
      </c>
      <c r="L45" s="4">
        <v>6</v>
      </c>
    </row>
    <row r="46" spans="2:17">
      <c r="E46" s="50"/>
      <c r="F46" s="79"/>
      <c r="G46" s="59"/>
      <c r="H46" s="59"/>
      <c r="I46" s="50"/>
      <c r="J46" s="50"/>
      <c r="K46" s="7" t="s">
        <v>22</v>
      </c>
      <c r="L46" s="4">
        <v>5</v>
      </c>
    </row>
    <row r="47" spans="2:17">
      <c r="E47" s="50"/>
      <c r="F47" s="50"/>
      <c r="G47" s="50"/>
      <c r="H47" s="50"/>
      <c r="I47" s="50"/>
      <c r="J47" s="50"/>
      <c r="K47" s="7" t="s">
        <v>25</v>
      </c>
      <c r="L47" s="4">
        <v>4.5</v>
      </c>
    </row>
    <row r="48" spans="2:17">
      <c r="E48" s="50"/>
      <c r="F48" s="50"/>
      <c r="G48" s="50"/>
      <c r="H48" s="50"/>
      <c r="I48" s="50"/>
      <c r="J48" s="50"/>
      <c r="K48" s="7" t="s">
        <v>26</v>
      </c>
      <c r="L48" s="4">
        <v>4.2</v>
      </c>
    </row>
    <row r="49" spans="5:12">
      <c r="E49" s="50"/>
      <c r="F49" s="50"/>
      <c r="G49" s="50"/>
      <c r="H49" s="50"/>
      <c r="I49" s="50"/>
      <c r="J49" s="50"/>
      <c r="K49" s="7" t="s">
        <v>27</v>
      </c>
      <c r="L49" s="4">
        <v>4.5</v>
      </c>
    </row>
    <row r="50" spans="5:12">
      <c r="E50" s="50"/>
      <c r="F50" s="50"/>
      <c r="G50" s="50"/>
      <c r="H50" s="50"/>
      <c r="I50" s="50"/>
      <c r="J50" s="50"/>
      <c r="K50" s="7" t="s">
        <v>28</v>
      </c>
      <c r="L50" s="4">
        <v>3.5</v>
      </c>
    </row>
    <row r="52" spans="5:12">
      <c r="K52" s="145" t="s">
        <v>30</v>
      </c>
      <c r="L52" s="145"/>
    </row>
    <row r="53" spans="5:12">
      <c r="K53" s="7" t="s">
        <v>29</v>
      </c>
      <c r="L53" s="6">
        <v>7</v>
      </c>
    </row>
    <row r="55" spans="5:12">
      <c r="K55" s="145" t="s">
        <v>32</v>
      </c>
      <c r="L55" s="145"/>
    </row>
    <row r="56" spans="5:12">
      <c r="K56" s="176"/>
      <c r="L56" s="177"/>
    </row>
    <row r="57" spans="5:12">
      <c r="K57" s="178"/>
      <c r="L57" s="179"/>
    </row>
    <row r="58" spans="5:12">
      <c r="K58" s="146" t="s">
        <v>89</v>
      </c>
      <c r="L58" s="22">
        <v>260</v>
      </c>
    </row>
    <row r="59" spans="5:12">
      <c r="K59" s="147"/>
      <c r="L59" s="23">
        <v>310</v>
      </c>
    </row>
    <row r="60" spans="5:12">
      <c r="K60" s="31" t="s">
        <v>18</v>
      </c>
      <c r="L60" s="42">
        <v>260</v>
      </c>
    </row>
    <row r="62" spans="5:12">
      <c r="K62" s="159" t="s">
        <v>135</v>
      </c>
      <c r="L62" s="159"/>
    </row>
    <row r="63" spans="5:12">
      <c r="K63" s="173">
        <v>1.25</v>
      </c>
      <c r="L63" s="173"/>
    </row>
    <row r="64" spans="5:12">
      <c r="K64" s="172"/>
      <c r="L64" s="172"/>
    </row>
  </sheetData>
  <mergeCells count="33">
    <mergeCell ref="K62:L62"/>
    <mergeCell ref="K64:L64"/>
    <mergeCell ref="K63:L63"/>
    <mergeCell ref="C21:F25"/>
    <mergeCell ref="C28:E28"/>
    <mergeCell ref="D31:F32"/>
    <mergeCell ref="D30:F30"/>
    <mergeCell ref="D29:F29"/>
    <mergeCell ref="K58:K59"/>
    <mergeCell ref="K55:L55"/>
    <mergeCell ref="K56:L57"/>
    <mergeCell ref="K29:K31"/>
    <mergeCell ref="K33:K35"/>
    <mergeCell ref="M40:Q40"/>
    <mergeCell ref="K42:L42"/>
    <mergeCell ref="K43:K44"/>
    <mergeCell ref="L43:L44"/>
    <mergeCell ref="K52:L52"/>
    <mergeCell ref="K3:L3"/>
    <mergeCell ref="K4:K7"/>
    <mergeCell ref="K9:L9"/>
    <mergeCell ref="K10:L11"/>
    <mergeCell ref="K13:L13"/>
    <mergeCell ref="A4:B4"/>
    <mergeCell ref="M33:Q35"/>
    <mergeCell ref="M36:Q36"/>
    <mergeCell ref="K37:K39"/>
    <mergeCell ref="M37:Q39"/>
    <mergeCell ref="K14:L16"/>
    <mergeCell ref="K17:K19"/>
    <mergeCell ref="K21:K22"/>
    <mergeCell ref="K24:K27"/>
    <mergeCell ref="C33:F3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tabSelected="1" view="pageBreakPreview" topLeftCell="A49" zoomScale="50" zoomScaleNormal="60" zoomScaleSheetLayoutView="50" workbookViewId="0">
      <selection activeCell="I76" sqref="I76"/>
    </sheetView>
  </sheetViews>
  <sheetFormatPr baseColWidth="10" defaultRowHeight="15.75"/>
  <cols>
    <col min="1" max="1" width="11.42578125" style="248"/>
    <col min="2" max="2" width="49.85546875" style="248" bestFit="1" customWidth="1"/>
    <col min="3" max="3" width="19" style="248" customWidth="1"/>
    <col min="4" max="4" width="26.85546875" style="248" customWidth="1"/>
    <col min="5" max="5" width="17.85546875" style="248" customWidth="1"/>
    <col min="6" max="6" width="34.7109375" style="248" bestFit="1" customWidth="1"/>
    <col min="7" max="7" width="11.42578125" style="248"/>
    <col min="8" max="8" width="22.5703125" style="248" customWidth="1"/>
    <col min="9" max="9" width="17.5703125" style="248" bestFit="1" customWidth="1"/>
    <col min="10" max="10" width="32.5703125" style="248" customWidth="1"/>
    <col min="11" max="11" width="9.28515625" style="248" customWidth="1"/>
    <col min="12" max="12" width="11.42578125" style="248"/>
    <col min="13" max="13" width="17.7109375" style="248" bestFit="1" customWidth="1"/>
    <col min="14" max="16384" width="11.42578125" style="248"/>
  </cols>
  <sheetData>
    <row r="1" spans="1:14">
      <c r="A1" s="247" t="s">
        <v>177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</row>
    <row r="2" spans="1:14">
      <c r="A2" s="247"/>
      <c r="B2" s="247"/>
      <c r="C2" s="247"/>
      <c r="D2" s="247"/>
      <c r="E2" s="247"/>
      <c r="F2" s="247"/>
      <c r="G2" s="247"/>
      <c r="H2" s="247"/>
      <c r="I2" s="247"/>
      <c r="J2" s="247"/>
      <c r="K2" s="247"/>
    </row>
    <row r="3" spans="1:14">
      <c r="A3" s="247"/>
      <c r="B3" s="247"/>
      <c r="C3" s="247"/>
      <c r="D3" s="247"/>
      <c r="E3" s="247"/>
      <c r="F3" s="247"/>
      <c r="G3" s="247"/>
      <c r="H3" s="247"/>
      <c r="I3" s="247"/>
      <c r="J3" s="247"/>
      <c r="K3" s="247"/>
    </row>
    <row r="4" spans="1:14">
      <c r="A4" s="247"/>
      <c r="B4" s="247"/>
      <c r="C4" s="247"/>
      <c r="D4" s="247"/>
      <c r="E4" s="247"/>
      <c r="F4" s="247"/>
      <c r="G4" s="247"/>
      <c r="H4" s="247"/>
      <c r="I4" s="247"/>
      <c r="J4" s="247"/>
      <c r="K4" s="247"/>
    </row>
    <row r="5" spans="1:14">
      <c r="A5" s="247"/>
      <c r="B5" s="247"/>
      <c r="C5" s="247"/>
      <c r="D5" s="247"/>
      <c r="E5" s="247"/>
      <c r="F5" s="247"/>
      <c r="G5" s="247"/>
      <c r="H5" s="247"/>
      <c r="I5" s="247"/>
      <c r="J5" s="247"/>
      <c r="K5" s="247"/>
    </row>
    <row r="6" spans="1:14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</row>
    <row r="7" spans="1:14" ht="44.25" customHeight="1">
      <c r="A7" s="249"/>
      <c r="B7" s="250" t="s">
        <v>136</v>
      </c>
      <c r="C7" s="251" t="s">
        <v>137</v>
      </c>
      <c r="D7" s="252"/>
      <c r="E7" s="253"/>
      <c r="F7" s="254" t="s">
        <v>183</v>
      </c>
      <c r="G7" s="304"/>
      <c r="H7" s="255"/>
      <c r="I7" s="256"/>
      <c r="J7" s="256"/>
      <c r="K7" s="249"/>
    </row>
    <row r="8" spans="1:14" ht="15" customHeight="1">
      <c r="A8" s="249"/>
      <c r="B8" s="257">
        <f>'Paneles Con Fac'!H10</f>
        <v>7</v>
      </c>
      <c r="C8" s="258">
        <f>'Paneles Con Fac'!I10</f>
        <v>16.8</v>
      </c>
      <c r="D8" s="259"/>
      <c r="E8" s="299"/>
      <c r="F8" s="305">
        <f>'Paneles Con Fac'!B17</f>
        <v>140000</v>
      </c>
      <c r="G8" s="306"/>
      <c r="H8" s="260" t="s">
        <v>182</v>
      </c>
      <c r="I8" s="256"/>
      <c r="J8" s="256"/>
      <c r="K8" s="249"/>
    </row>
    <row r="9" spans="1:14" ht="15" customHeight="1">
      <c r="A9" s="249"/>
      <c r="B9" s="257"/>
      <c r="C9" s="258"/>
      <c r="D9" s="259"/>
      <c r="E9" s="299"/>
      <c r="F9" s="307"/>
      <c r="G9" s="308"/>
      <c r="H9" s="261"/>
      <c r="I9" s="256"/>
      <c r="J9" s="256"/>
      <c r="K9" s="249"/>
    </row>
    <row r="10" spans="1:14" ht="15" customHeight="1">
      <c r="A10" s="249"/>
      <c r="B10" s="257"/>
      <c r="C10" s="258"/>
      <c r="D10" s="259"/>
      <c r="E10" s="299"/>
      <c r="F10" s="307"/>
      <c r="G10" s="308"/>
      <c r="H10" s="261"/>
      <c r="I10" s="256"/>
      <c r="J10" s="256"/>
      <c r="K10" s="249"/>
    </row>
    <row r="11" spans="1:14" ht="15" customHeight="1">
      <c r="A11" s="249"/>
      <c r="B11" s="257"/>
      <c r="C11" s="262"/>
      <c r="D11" s="263"/>
      <c r="E11" s="300"/>
      <c r="F11" s="307"/>
      <c r="G11" s="308"/>
      <c r="H11" s="261"/>
      <c r="I11" s="256"/>
      <c r="J11" s="256"/>
      <c r="K11" s="249"/>
    </row>
    <row r="12" spans="1:14" ht="15" customHeight="1">
      <c r="A12" s="249"/>
      <c r="B12" s="257"/>
      <c r="C12" s="264">
        <f>C8/1000</f>
        <v>1.6800000000000002E-2</v>
      </c>
      <c r="D12" s="265"/>
      <c r="E12" s="301" t="s">
        <v>113</v>
      </c>
      <c r="F12" s="307"/>
      <c r="G12" s="308"/>
      <c r="H12" s="261"/>
      <c r="I12" s="256"/>
      <c r="J12" s="256"/>
      <c r="K12" s="249"/>
      <c r="N12" s="266"/>
    </row>
    <row r="13" spans="1:14" ht="15" customHeight="1">
      <c r="A13" s="249"/>
      <c r="B13" s="257"/>
      <c r="C13" s="267"/>
      <c r="D13" s="268"/>
      <c r="E13" s="302"/>
      <c r="F13" s="307"/>
      <c r="G13" s="308"/>
      <c r="H13" s="261"/>
      <c r="I13" s="256"/>
      <c r="J13" s="256"/>
      <c r="K13" s="249"/>
      <c r="N13" s="266"/>
    </row>
    <row r="14" spans="1:14" ht="15" customHeight="1">
      <c r="A14" s="249"/>
      <c r="B14" s="257"/>
      <c r="C14" s="267"/>
      <c r="D14" s="268"/>
      <c r="E14" s="302"/>
      <c r="F14" s="307"/>
      <c r="G14" s="308"/>
      <c r="H14" s="261"/>
      <c r="I14" s="256"/>
      <c r="J14" s="256"/>
      <c r="K14" s="249"/>
    </row>
    <row r="15" spans="1:14" ht="15" customHeight="1">
      <c r="A15" s="249"/>
      <c r="B15" s="269"/>
      <c r="C15" s="270"/>
      <c r="D15" s="271"/>
      <c r="E15" s="303"/>
      <c r="F15" s="309"/>
      <c r="G15" s="310"/>
      <c r="H15" s="272"/>
      <c r="I15" s="256"/>
      <c r="J15" s="256"/>
      <c r="K15" s="249"/>
    </row>
    <row r="16" spans="1:14">
      <c r="A16" s="249"/>
      <c r="B16" s="249"/>
      <c r="C16" s="249"/>
      <c r="D16" s="249"/>
      <c r="E16" s="249"/>
      <c r="F16" s="249"/>
      <c r="G16" s="249"/>
      <c r="H16" s="249"/>
      <c r="I16" s="249"/>
      <c r="J16" s="249"/>
      <c r="K16" s="249"/>
    </row>
    <row r="17" spans="1:11" ht="30.75" customHeight="1">
      <c r="A17" s="249"/>
      <c r="B17" s="273" t="s">
        <v>119</v>
      </c>
      <c r="C17" s="273"/>
      <c r="D17" s="273"/>
      <c r="E17" s="274"/>
      <c r="F17" s="275" t="s">
        <v>134</v>
      </c>
      <c r="G17" s="275"/>
      <c r="H17" s="275"/>
      <c r="I17" s="275"/>
      <c r="J17" s="275"/>
      <c r="K17" s="249"/>
    </row>
    <row r="18" spans="1:11" ht="26.25" customHeight="1">
      <c r="A18" s="249"/>
      <c r="B18" s="276" t="s">
        <v>174</v>
      </c>
      <c r="C18" s="277">
        <f>'Paneles Con Fac'!B12</f>
        <v>2100</v>
      </c>
      <c r="D18" s="278" t="s">
        <v>63</v>
      </c>
      <c r="E18" s="274"/>
      <c r="F18" s="279" t="s">
        <v>121</v>
      </c>
      <c r="G18" s="279"/>
      <c r="H18" s="279"/>
      <c r="I18" s="280">
        <f>'Paneles Con Fac'!B12*'Paneles Con Fac'!B9</f>
        <v>2100</v>
      </c>
      <c r="J18" s="281" t="s">
        <v>63</v>
      </c>
      <c r="K18" s="249"/>
    </row>
    <row r="19" spans="1:11" ht="32.25" customHeight="1">
      <c r="A19" s="249"/>
      <c r="B19" s="276" t="s">
        <v>173</v>
      </c>
      <c r="C19" s="282">
        <f>('Paneles Con Fac'!B11*12)/'Paneles Con Fac'!B5*'Paneles Con Fac'!B6</f>
        <v>1106177.7202072539</v>
      </c>
      <c r="D19" s="278" t="s">
        <v>120</v>
      </c>
      <c r="E19" s="274"/>
      <c r="F19" s="279" t="s">
        <v>122</v>
      </c>
      <c r="G19" s="279"/>
      <c r="H19" s="279"/>
      <c r="I19" s="283">
        <f>'POSIBLE ECO (2)'!I49/25</f>
        <v>695455.19502059999</v>
      </c>
      <c r="J19" s="281" t="s">
        <v>120</v>
      </c>
      <c r="K19" s="249"/>
    </row>
    <row r="20" spans="1:11">
      <c r="A20" s="249"/>
      <c r="B20" s="249"/>
      <c r="C20" s="249"/>
      <c r="D20" s="249"/>
      <c r="E20" s="249"/>
      <c r="F20" s="249"/>
      <c r="G20" s="249"/>
      <c r="H20" s="249"/>
      <c r="I20" s="249"/>
      <c r="J20" s="249"/>
      <c r="K20" s="249"/>
    </row>
    <row r="21" spans="1:11">
      <c r="A21" s="249"/>
      <c r="B21" s="249"/>
      <c r="C21" s="284">
        <f>C19</f>
        <v>1106177.7202072539</v>
      </c>
      <c r="D21" s="249"/>
      <c r="E21" s="249"/>
      <c r="F21" s="249"/>
      <c r="G21" s="249"/>
      <c r="H21" s="249"/>
      <c r="I21" s="249"/>
      <c r="J21" s="249"/>
      <c r="K21" s="249"/>
    </row>
    <row r="22" spans="1:11">
      <c r="A22" s="249"/>
      <c r="B22" s="249"/>
      <c r="C22" s="285">
        <f>I19</f>
        <v>695455.19502059999</v>
      </c>
      <c r="D22" s="249"/>
      <c r="E22" s="249"/>
      <c r="F22" s="249"/>
      <c r="G22" s="249"/>
      <c r="H22" s="249"/>
      <c r="I22" s="249"/>
      <c r="J22" s="249"/>
      <c r="K22" s="249"/>
    </row>
    <row r="23" spans="1:11">
      <c r="A23" s="249"/>
      <c r="B23" s="249"/>
      <c r="C23" s="249"/>
      <c r="D23" s="249"/>
      <c r="E23" s="249"/>
      <c r="F23" s="249"/>
      <c r="G23" s="249"/>
      <c r="H23" s="249"/>
      <c r="I23" s="249"/>
      <c r="J23" s="249"/>
      <c r="K23" s="249"/>
    </row>
    <row r="24" spans="1:11">
      <c r="A24" s="249"/>
      <c r="B24" s="249"/>
      <c r="C24" s="249"/>
      <c r="D24" s="249"/>
      <c r="E24" s="249"/>
      <c r="F24" s="249"/>
      <c r="G24" s="249"/>
      <c r="H24" s="249"/>
      <c r="I24" s="249"/>
      <c r="J24" s="249"/>
      <c r="K24" s="249"/>
    </row>
    <row r="25" spans="1:11" ht="15" customHeight="1">
      <c r="A25" s="249"/>
      <c r="B25" s="249"/>
      <c r="C25" s="249"/>
      <c r="D25" s="249"/>
      <c r="E25" s="249"/>
      <c r="F25" s="286"/>
      <c r="G25" s="286"/>
      <c r="H25" s="286"/>
      <c r="I25" s="286"/>
      <c r="J25" s="286"/>
      <c r="K25" s="249"/>
    </row>
    <row r="26" spans="1:11" ht="15" customHeight="1">
      <c r="A26" s="249"/>
      <c r="B26" s="249"/>
      <c r="C26" s="249"/>
      <c r="D26" s="249"/>
      <c r="E26" s="249"/>
      <c r="F26" s="286"/>
      <c r="G26" s="286"/>
      <c r="H26" s="286"/>
      <c r="I26" s="286"/>
      <c r="J26" s="286"/>
      <c r="K26" s="249"/>
    </row>
    <row r="27" spans="1:11" ht="15" customHeight="1">
      <c r="A27" s="249"/>
      <c r="B27" s="249"/>
      <c r="C27" s="249"/>
      <c r="D27" s="249"/>
      <c r="E27" s="249"/>
      <c r="F27" s="286"/>
      <c r="G27" s="286"/>
      <c r="H27" s="286"/>
      <c r="I27" s="286"/>
      <c r="J27" s="286"/>
      <c r="K27" s="249"/>
    </row>
    <row r="28" spans="1:11" ht="15" customHeight="1">
      <c r="A28" s="249"/>
      <c r="B28" s="249"/>
      <c r="C28" s="249"/>
      <c r="D28" s="249"/>
      <c r="E28" s="249"/>
      <c r="F28" s="286"/>
      <c r="G28" s="286"/>
      <c r="H28" s="286"/>
      <c r="I28" s="286"/>
      <c r="J28" s="286"/>
      <c r="K28" s="249"/>
    </row>
    <row r="29" spans="1:11">
      <c r="A29" s="249"/>
      <c r="B29" s="249"/>
      <c r="C29" s="249"/>
      <c r="D29" s="249"/>
      <c r="E29" s="249"/>
      <c r="F29" s="249"/>
      <c r="G29" s="249"/>
      <c r="H29" s="249"/>
      <c r="I29" s="249"/>
      <c r="J29" s="249"/>
      <c r="K29" s="249"/>
    </row>
    <row r="30" spans="1:11">
      <c r="A30" s="249"/>
      <c r="B30" s="249"/>
      <c r="C30" s="249"/>
      <c r="D30" s="249"/>
      <c r="E30" s="249"/>
      <c r="F30" s="249"/>
      <c r="G30" s="249"/>
      <c r="H30" s="249"/>
      <c r="I30" s="249"/>
      <c r="J30" s="249"/>
      <c r="K30" s="249"/>
    </row>
    <row r="31" spans="1:11">
      <c r="A31" s="249"/>
      <c r="B31" s="249"/>
      <c r="C31" s="249"/>
      <c r="D31" s="249"/>
      <c r="E31" s="249"/>
      <c r="F31" s="249"/>
      <c r="G31" s="249"/>
      <c r="H31" s="249"/>
      <c r="I31" s="249"/>
      <c r="J31" s="249"/>
      <c r="K31" s="249"/>
    </row>
    <row r="32" spans="1:11">
      <c r="A32" s="249"/>
      <c r="B32" s="249"/>
      <c r="C32" s="249"/>
      <c r="D32" s="249"/>
      <c r="E32" s="249"/>
      <c r="F32" s="249"/>
      <c r="G32" s="249"/>
      <c r="H32" s="249"/>
      <c r="I32" s="249"/>
      <c r="J32" s="249"/>
      <c r="K32" s="249"/>
    </row>
    <row r="33" spans="1:11">
      <c r="A33" s="249"/>
      <c r="B33" s="249"/>
      <c r="C33" s="249"/>
      <c r="D33" s="249"/>
      <c r="E33" s="249"/>
      <c r="F33" s="249"/>
      <c r="G33" s="249"/>
      <c r="H33" s="249"/>
      <c r="I33" s="249"/>
      <c r="J33" s="249"/>
      <c r="K33" s="249"/>
    </row>
    <row r="34" spans="1:11">
      <c r="A34" s="249"/>
      <c r="B34" s="249"/>
      <c r="C34" s="249"/>
      <c r="D34" s="249"/>
      <c r="E34" s="249"/>
      <c r="F34" s="249"/>
      <c r="G34" s="249"/>
      <c r="H34" s="249"/>
      <c r="I34" s="249"/>
      <c r="J34" s="249"/>
      <c r="K34" s="249"/>
    </row>
    <row r="35" spans="1:11">
      <c r="A35" s="249"/>
      <c r="B35" s="249"/>
      <c r="C35" s="249"/>
      <c r="D35" s="249"/>
      <c r="E35" s="249"/>
      <c r="F35" s="249"/>
      <c r="G35" s="249"/>
      <c r="H35" s="249"/>
      <c r="I35" s="249"/>
      <c r="J35" s="249"/>
      <c r="K35" s="249"/>
    </row>
    <row r="36" spans="1:11">
      <c r="A36" s="249"/>
      <c r="B36" s="249"/>
      <c r="C36" s="249"/>
      <c r="D36" s="249"/>
      <c r="E36" s="249"/>
      <c r="F36" s="249"/>
      <c r="G36" s="249"/>
      <c r="H36" s="249"/>
      <c r="I36" s="249"/>
      <c r="J36" s="249"/>
      <c r="K36" s="249"/>
    </row>
    <row r="37" spans="1:11">
      <c r="A37" s="249"/>
      <c r="B37" s="249"/>
      <c r="C37" s="249"/>
      <c r="D37" s="249"/>
      <c r="E37" s="249"/>
      <c r="F37" s="249"/>
      <c r="G37" s="249"/>
      <c r="H37" s="249"/>
      <c r="I37" s="249"/>
      <c r="J37" s="249"/>
      <c r="K37" s="249"/>
    </row>
    <row r="38" spans="1:11">
      <c r="A38" s="249"/>
      <c r="B38" s="249"/>
      <c r="C38" s="249"/>
      <c r="D38" s="249"/>
      <c r="E38" s="249"/>
      <c r="F38" s="249"/>
      <c r="G38" s="249"/>
      <c r="H38" s="249"/>
      <c r="I38" s="249"/>
      <c r="J38" s="249"/>
      <c r="K38" s="249"/>
    </row>
    <row r="39" spans="1:11">
      <c r="A39" s="249"/>
      <c r="B39" s="249"/>
      <c r="C39" s="249"/>
      <c r="D39" s="249"/>
      <c r="E39" s="249"/>
      <c r="F39" s="249"/>
      <c r="G39" s="249"/>
      <c r="H39" s="249"/>
      <c r="I39" s="249"/>
      <c r="J39" s="249"/>
      <c r="K39" s="249"/>
    </row>
    <row r="40" spans="1:11">
      <c r="A40" s="249"/>
      <c r="B40" s="249"/>
      <c r="C40" s="249"/>
      <c r="D40" s="249"/>
      <c r="E40" s="249"/>
      <c r="F40" s="249"/>
      <c r="G40" s="249"/>
      <c r="H40" s="249"/>
      <c r="I40" s="249"/>
      <c r="J40" s="249"/>
      <c r="K40" s="249"/>
    </row>
    <row r="41" spans="1:11" ht="15.75" customHeight="1">
      <c r="A41" s="249"/>
      <c r="B41" s="249"/>
      <c r="C41" s="249"/>
      <c r="D41" s="249"/>
      <c r="E41" s="249"/>
      <c r="F41" s="249"/>
      <c r="G41" s="249"/>
      <c r="H41" s="249"/>
      <c r="I41" s="249"/>
      <c r="J41" s="249"/>
      <c r="K41" s="249"/>
    </row>
    <row r="42" spans="1:11">
      <c r="A42" s="249"/>
      <c r="B42" s="249"/>
      <c r="C42" s="249"/>
      <c r="D42" s="249"/>
      <c r="E42" s="249"/>
      <c r="F42" s="249"/>
      <c r="G42" s="249"/>
      <c r="H42" s="249"/>
      <c r="I42" s="249"/>
      <c r="J42" s="249"/>
      <c r="K42" s="249"/>
    </row>
    <row r="43" spans="1:11">
      <c r="A43" s="249"/>
      <c r="B43" s="249"/>
      <c r="C43" s="249"/>
      <c r="D43" s="249"/>
      <c r="E43" s="249"/>
      <c r="F43" s="249"/>
      <c r="G43" s="249"/>
      <c r="H43" s="249"/>
      <c r="I43" s="249"/>
      <c r="J43" s="249"/>
      <c r="K43" s="249"/>
    </row>
    <row r="44" spans="1:11">
      <c r="A44" s="249"/>
      <c r="B44" s="249"/>
      <c r="C44" s="249"/>
      <c r="D44" s="249"/>
      <c r="E44" s="249"/>
      <c r="F44" s="249"/>
      <c r="G44" s="249"/>
      <c r="H44" s="249"/>
      <c r="I44" s="249"/>
      <c r="J44" s="249"/>
      <c r="K44" s="249"/>
    </row>
    <row r="45" spans="1:11">
      <c r="A45" s="249"/>
      <c r="B45" s="249"/>
      <c r="C45" s="249"/>
      <c r="D45" s="249"/>
      <c r="E45" s="249"/>
      <c r="F45" s="249"/>
      <c r="G45" s="249"/>
      <c r="H45" s="249"/>
      <c r="I45" s="249"/>
      <c r="J45" s="249"/>
      <c r="K45" s="249"/>
    </row>
    <row r="46" spans="1:11" ht="19.5">
      <c r="A46" s="249"/>
      <c r="B46" s="249"/>
      <c r="C46" s="287"/>
      <c r="D46" s="287"/>
      <c r="E46" s="288" t="s">
        <v>133</v>
      </c>
      <c r="F46" s="288" t="s">
        <v>134</v>
      </c>
      <c r="G46" s="249"/>
      <c r="H46" s="249"/>
      <c r="I46" s="249"/>
      <c r="J46" s="249"/>
      <c r="K46" s="249"/>
    </row>
    <row r="47" spans="1:11" ht="19.5">
      <c r="A47" s="249"/>
      <c r="B47" s="249"/>
      <c r="C47" s="289" t="s">
        <v>171</v>
      </c>
      <c r="D47" s="289"/>
      <c r="E47" s="290">
        <f>C19</f>
        <v>1106177.7202072539</v>
      </c>
      <c r="F47" s="290">
        <f>I19</f>
        <v>695455.19502059999</v>
      </c>
      <c r="G47" s="249"/>
      <c r="H47" s="249"/>
      <c r="I47" s="249"/>
      <c r="J47" s="249"/>
      <c r="K47" s="249"/>
    </row>
    <row r="48" spans="1:11" ht="19.5">
      <c r="A48" s="249"/>
      <c r="B48" s="249"/>
      <c r="C48" s="289" t="s">
        <v>172</v>
      </c>
      <c r="D48" s="289"/>
      <c r="E48" s="291">
        <f>E47*25*(1.235)</f>
        <v>34153237.111398973</v>
      </c>
      <c r="F48" s="290">
        <f>'POSIBLE ECO (2)'!I49</f>
        <v>17386379.875514999</v>
      </c>
      <c r="G48" s="249"/>
      <c r="I48" s="249"/>
      <c r="J48" s="249"/>
      <c r="K48" s="249"/>
    </row>
    <row r="49" spans="1:11" ht="16.5" thickBot="1">
      <c r="A49" s="249"/>
      <c r="B49" s="249"/>
      <c r="C49" s="249"/>
      <c r="D49" s="249"/>
      <c r="E49" s="249"/>
      <c r="F49" s="249"/>
      <c r="G49" s="249"/>
      <c r="H49" s="249"/>
      <c r="I49" s="249"/>
      <c r="J49" s="249"/>
      <c r="K49" s="249"/>
    </row>
    <row r="50" spans="1:11" ht="29.25">
      <c r="A50" s="249"/>
      <c r="B50" s="249"/>
      <c r="C50" s="249"/>
      <c r="D50" s="294" t="s">
        <v>175</v>
      </c>
      <c r="E50" s="295"/>
      <c r="F50" s="292">
        <f>F48</f>
        <v>17386379.875514999</v>
      </c>
      <c r="G50" s="249"/>
      <c r="H50" s="249"/>
      <c r="I50" s="249"/>
      <c r="J50" s="249"/>
      <c r="K50" s="249"/>
    </row>
    <row r="51" spans="1:11" ht="30" thickBot="1">
      <c r="A51" s="249"/>
      <c r="B51" s="249"/>
      <c r="C51" s="249"/>
      <c r="D51" s="296" t="s">
        <v>138</v>
      </c>
      <c r="E51" s="297"/>
      <c r="F51" s="293">
        <f>E48-F48</f>
        <v>16766857.235883974</v>
      </c>
      <c r="G51" s="249"/>
      <c r="H51" s="249"/>
      <c r="I51" s="249"/>
      <c r="J51" s="249"/>
      <c r="K51" s="249"/>
    </row>
    <row r="52" spans="1:11">
      <c r="A52" s="249"/>
      <c r="B52" s="249"/>
      <c r="C52" s="249"/>
      <c r="D52" s="249"/>
      <c r="E52" s="249"/>
      <c r="F52" s="249"/>
      <c r="G52" s="249"/>
      <c r="H52" s="249"/>
      <c r="I52" s="249"/>
      <c r="J52" s="249"/>
      <c r="K52" s="249"/>
    </row>
    <row r="53" spans="1:11">
      <c r="A53" s="249"/>
      <c r="B53" s="249"/>
      <c r="C53" s="249"/>
      <c r="D53" s="249"/>
      <c r="E53" s="249"/>
      <c r="F53" s="249"/>
      <c r="G53" s="249"/>
      <c r="H53" s="249"/>
      <c r="I53" s="249"/>
      <c r="J53" s="249"/>
      <c r="K53" s="249"/>
    </row>
    <row r="54" spans="1:11">
      <c r="A54" s="249"/>
      <c r="B54" s="249"/>
      <c r="C54" s="249"/>
      <c r="D54" s="249"/>
      <c r="E54" s="249"/>
      <c r="F54" s="249"/>
      <c r="G54" s="249"/>
      <c r="H54" s="249"/>
      <c r="I54" s="249"/>
      <c r="J54" s="249"/>
      <c r="K54" s="249"/>
    </row>
    <row r="55" spans="1:11">
      <c r="A55" s="249"/>
      <c r="B55" s="249"/>
      <c r="C55" s="249"/>
      <c r="D55" s="249"/>
      <c r="E55" s="249"/>
      <c r="F55" s="249"/>
      <c r="G55" s="249"/>
      <c r="H55" s="249"/>
      <c r="I55" s="249"/>
      <c r="J55" s="249"/>
      <c r="K55" s="249"/>
    </row>
    <row r="56" spans="1:11">
      <c r="A56" s="249"/>
      <c r="B56" s="249"/>
      <c r="C56" s="249"/>
      <c r="D56" s="249"/>
      <c r="E56" s="249"/>
      <c r="F56" s="249"/>
      <c r="G56" s="249"/>
      <c r="H56" s="249"/>
      <c r="I56" s="249"/>
      <c r="J56" s="249"/>
      <c r="K56" s="249"/>
    </row>
    <row r="57" spans="1:11">
      <c r="A57" s="249"/>
      <c r="B57" s="249"/>
      <c r="C57" s="249"/>
      <c r="D57" s="249"/>
      <c r="E57" s="249"/>
      <c r="F57" s="249"/>
      <c r="G57" s="249"/>
      <c r="H57" s="249"/>
      <c r="I57" s="249"/>
      <c r="J57" s="249"/>
      <c r="K57" s="249"/>
    </row>
    <row r="58" spans="1:11">
      <c r="A58" s="249"/>
      <c r="B58" s="249"/>
      <c r="C58" s="249"/>
      <c r="D58" s="249"/>
      <c r="E58" s="249"/>
      <c r="F58" s="249"/>
      <c r="G58" s="249"/>
      <c r="H58" s="249"/>
      <c r="I58" s="249"/>
      <c r="J58" s="249"/>
      <c r="K58" s="249"/>
    </row>
    <row r="59" spans="1:11">
      <c r="A59" s="249"/>
      <c r="B59" s="249"/>
      <c r="C59" s="249"/>
      <c r="D59" s="249"/>
      <c r="E59" s="249"/>
      <c r="F59" s="249"/>
      <c r="G59" s="249"/>
      <c r="H59" s="249"/>
      <c r="I59" s="249"/>
      <c r="J59" s="249"/>
      <c r="K59" s="249"/>
    </row>
    <row r="60" spans="1:11">
      <c r="A60" s="249"/>
      <c r="B60" s="249"/>
      <c r="C60" s="249"/>
      <c r="D60" s="249"/>
      <c r="E60" s="249"/>
      <c r="F60" s="249"/>
      <c r="G60" s="249"/>
      <c r="H60" s="249"/>
      <c r="I60" s="249"/>
      <c r="J60" s="249"/>
      <c r="K60" s="249"/>
    </row>
    <row r="61" spans="1:11">
      <c r="A61" s="249"/>
      <c r="B61" s="249"/>
      <c r="C61" s="249"/>
      <c r="D61" s="249"/>
      <c r="E61" s="249"/>
      <c r="F61" s="249"/>
      <c r="G61" s="249"/>
      <c r="H61" s="249"/>
      <c r="I61" s="249"/>
      <c r="J61" s="249"/>
      <c r="K61" s="249"/>
    </row>
    <row r="62" spans="1:11">
      <c r="A62" s="249"/>
      <c r="B62" s="249"/>
      <c r="C62" s="249"/>
      <c r="D62" s="249"/>
      <c r="E62" s="249"/>
      <c r="F62" s="249"/>
      <c r="G62" s="249"/>
      <c r="H62" s="249"/>
      <c r="I62" s="249"/>
      <c r="J62" s="249"/>
      <c r="K62" s="249"/>
    </row>
    <row r="63" spans="1:11">
      <c r="A63" s="249"/>
      <c r="B63" s="249"/>
      <c r="C63" s="249"/>
      <c r="D63" s="249"/>
      <c r="E63" s="249"/>
      <c r="F63" s="249"/>
      <c r="G63" s="249"/>
      <c r="H63" s="249"/>
      <c r="I63" s="249"/>
      <c r="J63" s="249"/>
      <c r="K63" s="249"/>
    </row>
    <row r="64" spans="1:11">
      <c r="A64" s="249"/>
      <c r="B64" s="249"/>
      <c r="C64" s="249"/>
      <c r="D64" s="249"/>
      <c r="E64" s="249"/>
      <c r="F64" s="249"/>
      <c r="G64" s="249"/>
      <c r="H64" s="249"/>
      <c r="I64" s="249"/>
      <c r="J64" s="249"/>
      <c r="K64" s="249"/>
    </row>
    <row r="65" spans="1:11">
      <c r="A65" s="249"/>
      <c r="B65" s="249"/>
      <c r="C65" s="249"/>
      <c r="D65" s="249"/>
      <c r="E65" s="249"/>
      <c r="F65" s="249"/>
      <c r="G65" s="249"/>
      <c r="H65" s="249"/>
      <c r="I65" s="249"/>
      <c r="J65" s="249"/>
      <c r="K65" s="249"/>
    </row>
    <row r="66" spans="1:11">
      <c r="A66" s="249"/>
      <c r="B66" s="249"/>
      <c r="C66" s="249"/>
      <c r="D66" s="249"/>
      <c r="E66" s="249"/>
      <c r="F66" s="249"/>
      <c r="G66" s="249"/>
      <c r="H66" s="249"/>
      <c r="I66" s="249"/>
      <c r="J66" s="249"/>
      <c r="K66" s="249"/>
    </row>
    <row r="67" spans="1:11">
      <c r="A67" s="249"/>
      <c r="B67" s="249"/>
      <c r="C67" s="249"/>
      <c r="D67" s="249"/>
      <c r="E67" s="249"/>
      <c r="F67" s="249"/>
      <c r="G67" s="249"/>
      <c r="H67" s="249"/>
      <c r="I67" s="249"/>
      <c r="J67" s="249"/>
      <c r="K67" s="249"/>
    </row>
    <row r="68" spans="1:11">
      <c r="A68" s="249"/>
      <c r="B68" s="249"/>
      <c r="C68" s="249"/>
      <c r="D68" s="249"/>
      <c r="E68" s="249"/>
      <c r="F68" s="249"/>
      <c r="G68" s="249"/>
      <c r="H68" s="249"/>
      <c r="I68" s="249"/>
      <c r="J68" s="249"/>
      <c r="K68" s="249"/>
    </row>
    <row r="69" spans="1:11">
      <c r="A69" s="249"/>
      <c r="B69" s="249"/>
      <c r="C69" s="249"/>
      <c r="D69" s="249"/>
      <c r="E69" s="249"/>
      <c r="F69" s="249"/>
      <c r="G69" s="249"/>
      <c r="H69" s="249"/>
      <c r="I69" s="249"/>
      <c r="J69" s="249"/>
      <c r="K69" s="249"/>
    </row>
    <row r="70" spans="1:11">
      <c r="A70" s="249"/>
      <c r="B70" s="249"/>
      <c r="C70" s="249"/>
      <c r="D70" s="249"/>
      <c r="E70" s="249"/>
      <c r="F70" s="249"/>
      <c r="G70" s="249"/>
      <c r="H70" s="249"/>
      <c r="I70" s="249"/>
      <c r="J70" s="249"/>
      <c r="K70" s="249"/>
    </row>
    <row r="71" spans="1:11">
      <c r="A71" s="249"/>
      <c r="B71" s="249"/>
      <c r="C71" s="249"/>
      <c r="D71" s="249"/>
      <c r="E71" s="249"/>
      <c r="F71" s="249"/>
      <c r="G71" s="249"/>
      <c r="H71" s="249"/>
      <c r="I71" s="249"/>
      <c r="J71" s="249"/>
      <c r="K71" s="249"/>
    </row>
    <row r="72" spans="1:11">
      <c r="A72" s="249"/>
      <c r="B72" s="249"/>
      <c r="C72" s="249"/>
      <c r="D72" s="249"/>
      <c r="E72" s="249"/>
      <c r="F72" s="249"/>
      <c r="G72" s="249"/>
      <c r="H72" s="249"/>
      <c r="I72" s="249"/>
      <c r="J72" s="249"/>
      <c r="K72" s="249"/>
    </row>
    <row r="73" spans="1:11">
      <c r="A73" s="249"/>
      <c r="B73" s="249"/>
      <c r="C73" s="249"/>
      <c r="D73" s="249"/>
      <c r="E73" s="249"/>
      <c r="F73" s="249"/>
      <c r="G73" s="249"/>
      <c r="H73" s="249"/>
      <c r="I73" s="249"/>
      <c r="J73" s="249"/>
      <c r="K73" s="249"/>
    </row>
    <row r="74" spans="1:11">
      <c r="A74" s="249"/>
      <c r="B74" s="249"/>
      <c r="C74" s="249"/>
      <c r="D74" s="249"/>
      <c r="E74" s="249"/>
      <c r="F74" s="249"/>
      <c r="G74" s="249"/>
      <c r="H74" s="249"/>
      <c r="I74" s="249"/>
      <c r="J74" s="249"/>
      <c r="K74" s="249"/>
    </row>
    <row r="75" spans="1:11">
      <c r="A75" s="249"/>
      <c r="B75" s="249"/>
      <c r="C75" s="249"/>
      <c r="D75" s="249"/>
      <c r="E75" s="249"/>
      <c r="F75" s="249"/>
      <c r="G75" s="249"/>
      <c r="H75" s="249"/>
      <c r="I75" s="249"/>
      <c r="J75" s="249"/>
      <c r="K75" s="249"/>
    </row>
    <row r="76" spans="1:11">
      <c r="A76" s="249"/>
      <c r="B76" s="249"/>
      <c r="C76" s="249"/>
      <c r="D76" s="249"/>
      <c r="E76" s="249"/>
      <c r="F76" s="249"/>
      <c r="G76" s="249"/>
      <c r="H76" s="249"/>
      <c r="I76" s="249"/>
      <c r="J76" s="249"/>
      <c r="K76" s="249"/>
    </row>
    <row r="77" spans="1:11">
      <c r="A77" s="249"/>
      <c r="B77" s="249"/>
      <c r="C77" s="249"/>
      <c r="D77" s="249"/>
      <c r="E77" s="249"/>
      <c r="F77" s="249"/>
      <c r="G77" s="249"/>
      <c r="H77" s="249"/>
      <c r="I77" s="249"/>
      <c r="J77" s="249"/>
      <c r="K77" s="249"/>
    </row>
    <row r="78" spans="1:11">
      <c r="A78" s="249"/>
      <c r="B78" s="249"/>
      <c r="C78" s="249"/>
      <c r="D78" s="249"/>
      <c r="E78" s="249"/>
      <c r="F78" s="249"/>
      <c r="G78" s="249"/>
      <c r="H78" s="249"/>
      <c r="I78" s="249"/>
      <c r="J78" s="249"/>
      <c r="K78" s="249"/>
    </row>
    <row r="79" spans="1:11">
      <c r="A79" s="249"/>
      <c r="B79" s="249"/>
      <c r="C79" s="249"/>
      <c r="D79" s="249"/>
      <c r="E79" s="249"/>
      <c r="F79" s="249"/>
      <c r="G79" s="249"/>
      <c r="H79" s="249"/>
      <c r="I79" s="249"/>
      <c r="J79" s="249"/>
      <c r="K79" s="249"/>
    </row>
    <row r="80" spans="1:11">
      <c r="A80" s="249"/>
      <c r="B80" s="249"/>
      <c r="C80" s="249"/>
      <c r="D80" s="249"/>
      <c r="E80" s="249"/>
      <c r="F80" s="249"/>
      <c r="G80" s="249"/>
      <c r="H80" s="249"/>
      <c r="I80" s="249"/>
      <c r="J80" s="249"/>
      <c r="K80" s="249"/>
    </row>
    <row r="81" spans="1:11">
      <c r="A81" s="249"/>
      <c r="B81" s="249"/>
      <c r="C81" s="249"/>
      <c r="D81" s="249"/>
      <c r="E81" s="249"/>
      <c r="F81" s="249"/>
      <c r="G81" s="249"/>
      <c r="H81" s="249"/>
      <c r="I81" s="249"/>
      <c r="J81" s="249"/>
      <c r="K81" s="249"/>
    </row>
    <row r="82" spans="1:11">
      <c r="A82" s="249"/>
      <c r="B82" s="249"/>
      <c r="C82" s="249"/>
      <c r="D82" s="249"/>
      <c r="E82" s="249"/>
      <c r="F82" s="249"/>
      <c r="G82" s="249"/>
      <c r="H82" s="249"/>
      <c r="I82" s="249"/>
      <c r="J82" s="249"/>
      <c r="K82" s="249"/>
    </row>
    <row r="83" spans="1:11">
      <c r="A83" s="249"/>
      <c r="B83" s="249"/>
      <c r="C83" s="249"/>
      <c r="D83" s="249"/>
      <c r="E83" s="249"/>
      <c r="F83" s="249"/>
      <c r="G83" s="249"/>
      <c r="H83" s="249"/>
      <c r="I83" s="249"/>
      <c r="J83" s="249"/>
      <c r="K83" s="249"/>
    </row>
    <row r="84" spans="1:11">
      <c r="A84" s="249"/>
      <c r="B84" s="249"/>
      <c r="C84" s="249"/>
      <c r="D84" s="249"/>
      <c r="E84" s="249"/>
      <c r="F84" s="249"/>
      <c r="G84" s="249"/>
      <c r="H84" s="249"/>
      <c r="I84" s="249"/>
      <c r="J84" s="249"/>
      <c r="K84" s="249"/>
    </row>
    <row r="85" spans="1:11">
      <c r="A85" s="249"/>
      <c r="B85" s="249"/>
      <c r="C85" s="249"/>
      <c r="D85" s="249"/>
      <c r="E85" s="249"/>
      <c r="F85" s="249"/>
      <c r="G85" s="249"/>
      <c r="H85" s="249"/>
      <c r="I85" s="249"/>
      <c r="J85" s="249"/>
      <c r="K85" s="249"/>
    </row>
  </sheetData>
  <mergeCells count="18">
    <mergeCell ref="F19:H19"/>
    <mergeCell ref="B8:B15"/>
    <mergeCell ref="D51:E51"/>
    <mergeCell ref="C47:D47"/>
    <mergeCell ref="C48:D48"/>
    <mergeCell ref="C8:D11"/>
    <mergeCell ref="E8:E11"/>
    <mergeCell ref="C12:D15"/>
    <mergeCell ref="E12:E15"/>
    <mergeCell ref="D50:E50"/>
    <mergeCell ref="F8:G15"/>
    <mergeCell ref="H8:H15"/>
    <mergeCell ref="A1:K5"/>
    <mergeCell ref="C7:E7"/>
    <mergeCell ref="B17:D17"/>
    <mergeCell ref="F17:J17"/>
    <mergeCell ref="F18:H18"/>
    <mergeCell ref="F7:H7"/>
  </mergeCells>
  <pageMargins left="0.7" right="0.7" top="0.75" bottom="0.75" header="0.3" footer="0.3"/>
  <pageSetup scale="36"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showRuler="0" view="pageBreakPreview" zoomScale="90" zoomScaleNormal="100" zoomScaleSheetLayoutView="90" workbookViewId="0">
      <selection activeCell="D47" sqref="D47:G47"/>
    </sheetView>
  </sheetViews>
  <sheetFormatPr baseColWidth="10" defaultRowHeight="15.75"/>
  <cols>
    <col min="1" max="1" width="12.42578125" style="87" customWidth="1"/>
    <col min="2" max="2" width="12.28515625" style="87" customWidth="1"/>
    <col min="3" max="7" width="11.42578125" style="87"/>
    <col min="8" max="8" width="19.7109375" style="87" bestFit="1" customWidth="1"/>
    <col min="9" max="9" width="19.7109375" style="87" customWidth="1"/>
    <col min="10" max="10" width="14.28515625" style="88" bestFit="1" customWidth="1"/>
    <col min="11" max="11" width="11.42578125" style="88"/>
    <col min="12" max="13" width="15.5703125" style="87" bestFit="1" customWidth="1"/>
    <col min="14" max="14" width="15" style="87" bestFit="1" customWidth="1"/>
    <col min="15" max="15" width="17.5703125" style="87" customWidth="1"/>
    <col min="16" max="16384" width="11.42578125" style="87"/>
  </cols>
  <sheetData>
    <row r="2" spans="1:17" ht="31.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4"/>
    </row>
    <row r="3" spans="1:17" ht="24.95" customHeight="1">
      <c r="A3" s="225"/>
      <c r="B3" s="226"/>
      <c r="C3" s="226"/>
      <c r="D3" s="226"/>
      <c r="E3" s="226"/>
      <c r="F3" s="226"/>
      <c r="G3" s="226"/>
      <c r="H3" s="226"/>
      <c r="I3" s="226"/>
      <c r="J3" s="226"/>
      <c r="K3" s="227"/>
    </row>
    <row r="4" spans="1:17" ht="42" customHeight="1">
      <c r="A4" s="228"/>
      <c r="B4" s="229"/>
      <c r="C4" s="229"/>
      <c r="D4" s="229"/>
      <c r="E4" s="229"/>
      <c r="F4" s="229"/>
      <c r="G4" s="229"/>
      <c r="H4" s="229"/>
      <c r="I4" s="229"/>
      <c r="J4" s="229"/>
      <c r="K4" s="230"/>
    </row>
    <row r="5" spans="1:17">
      <c r="A5" s="103" t="s">
        <v>170</v>
      </c>
      <c r="B5" s="201"/>
      <c r="C5" s="201"/>
      <c r="D5" s="201"/>
      <c r="E5" s="103" t="s">
        <v>169</v>
      </c>
      <c r="F5" s="201"/>
      <c r="G5" s="201"/>
      <c r="H5" s="201"/>
      <c r="I5" s="201"/>
      <c r="J5" s="201"/>
      <c r="K5" s="201"/>
    </row>
    <row r="6" spans="1:17">
      <c r="A6" s="103" t="s">
        <v>168</v>
      </c>
      <c r="B6" s="201"/>
      <c r="C6" s="201"/>
      <c r="D6" s="201"/>
      <c r="E6" s="103" t="s">
        <v>167</v>
      </c>
      <c r="F6" s="201"/>
      <c r="G6" s="201"/>
      <c r="H6" s="201"/>
      <c r="I6" s="201"/>
      <c r="J6" s="201"/>
      <c r="K6" s="201"/>
    </row>
    <row r="8" spans="1:17" ht="21">
      <c r="A8" s="204" t="s">
        <v>166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124"/>
      <c r="M8" s="124"/>
      <c r="N8" s="124"/>
      <c r="O8" s="124"/>
      <c r="P8" s="124"/>
      <c r="Q8" s="124"/>
    </row>
    <row r="9" spans="1:17">
      <c r="A9" s="92" t="s">
        <v>165</v>
      </c>
      <c r="B9" s="202" t="s">
        <v>151</v>
      </c>
      <c r="C9" s="202"/>
      <c r="D9" s="202"/>
      <c r="E9" s="202"/>
      <c r="F9" s="92" t="s">
        <v>33</v>
      </c>
      <c r="G9" s="202" t="s">
        <v>164</v>
      </c>
      <c r="H9" s="202"/>
      <c r="I9" s="92" t="s">
        <v>163</v>
      </c>
      <c r="J9" s="220" t="s">
        <v>146</v>
      </c>
      <c r="K9" s="220"/>
      <c r="L9" s="124"/>
      <c r="M9" s="124"/>
      <c r="N9" s="124"/>
      <c r="O9" s="124"/>
      <c r="P9" s="124"/>
      <c r="Q9" s="124"/>
    </row>
    <row r="10" spans="1:17">
      <c r="A10" s="100">
        <v>1</v>
      </c>
      <c r="B10" s="201" t="s">
        <v>110</v>
      </c>
      <c r="C10" s="201"/>
      <c r="D10" s="201"/>
      <c r="E10" s="201"/>
      <c r="F10" s="104">
        <f>'INFORME con FACT'!B8</f>
        <v>7</v>
      </c>
      <c r="G10" s="221">
        <v>2645</v>
      </c>
      <c r="H10" s="221"/>
      <c r="I10" s="122">
        <f>G10*'Paneles Con Fac'!L60</f>
        <v>687700</v>
      </c>
      <c r="J10" s="203">
        <f>I10*F10</f>
        <v>4813900</v>
      </c>
      <c r="K10" s="203"/>
      <c r="L10" s="124"/>
      <c r="M10" s="124"/>
      <c r="N10" s="124"/>
      <c r="O10" s="124"/>
      <c r="P10" s="124"/>
      <c r="Q10" s="124"/>
    </row>
    <row r="11" spans="1:17">
      <c r="A11" s="100">
        <v>2</v>
      </c>
      <c r="B11" s="201" t="s">
        <v>162</v>
      </c>
      <c r="C11" s="201"/>
      <c r="D11" s="201"/>
      <c r="E11" s="201"/>
      <c r="F11" s="101">
        <v>0</v>
      </c>
      <c r="G11" s="201"/>
      <c r="H11" s="201"/>
      <c r="I11" s="102">
        <v>0</v>
      </c>
      <c r="J11" s="218"/>
      <c r="K11" s="219"/>
      <c r="L11" s="124"/>
      <c r="M11" s="124"/>
      <c r="N11" s="124"/>
      <c r="O11" s="124"/>
      <c r="P11" s="124"/>
      <c r="Q11" s="124"/>
    </row>
    <row r="12" spans="1:17">
      <c r="A12" s="100">
        <v>3</v>
      </c>
      <c r="B12" s="201" t="s">
        <v>161</v>
      </c>
      <c r="C12" s="201"/>
      <c r="D12" s="201"/>
      <c r="E12" s="201"/>
      <c r="F12" s="101" t="str">
        <f>IF(F10&lt;8,"1",IF(F10&lt;16,"2",IF(F10&lt;24,"3",IF(F10&lt;32,"4","5"))))</f>
        <v>1</v>
      </c>
      <c r="G12" s="201"/>
      <c r="H12" s="201"/>
      <c r="I12" s="102">
        <v>2500000</v>
      </c>
      <c r="J12" s="218">
        <f>I12*F12</f>
        <v>2500000</v>
      </c>
      <c r="K12" s="219"/>
      <c r="L12" s="124"/>
      <c r="M12" s="124"/>
      <c r="N12" s="124"/>
      <c r="O12" s="124"/>
      <c r="P12" s="124"/>
      <c r="Q12" s="124"/>
    </row>
    <row r="13" spans="1:17">
      <c r="A13" s="100">
        <v>4</v>
      </c>
      <c r="B13" s="201" t="s">
        <v>160</v>
      </c>
      <c r="C13" s="201"/>
      <c r="D13" s="201"/>
      <c r="E13" s="201"/>
      <c r="F13" s="101">
        <v>0</v>
      </c>
      <c r="G13" s="217"/>
      <c r="H13" s="217"/>
      <c r="I13" s="99"/>
      <c r="J13" s="203">
        <f>I13*F13</f>
        <v>0</v>
      </c>
      <c r="K13" s="203"/>
      <c r="L13" s="124"/>
      <c r="M13" s="124"/>
      <c r="N13" s="124"/>
      <c r="O13" s="124"/>
      <c r="P13" s="124"/>
      <c r="Q13" s="124"/>
    </row>
    <row r="14" spans="1:17">
      <c r="A14" s="100">
        <v>5</v>
      </c>
      <c r="B14" s="201" t="s">
        <v>159</v>
      </c>
      <c r="C14" s="201"/>
      <c r="D14" s="201"/>
      <c r="E14" s="201"/>
      <c r="F14" s="101"/>
      <c r="G14" s="217"/>
      <c r="H14" s="217"/>
      <c r="I14" s="99"/>
      <c r="J14" s="203">
        <f>F14*G14</f>
        <v>0</v>
      </c>
      <c r="K14" s="203"/>
      <c r="L14" s="124"/>
      <c r="M14" s="124"/>
      <c r="N14" s="124"/>
      <c r="O14" s="124"/>
      <c r="P14" s="124"/>
      <c r="Q14" s="124"/>
    </row>
    <row r="15" spans="1:17">
      <c r="A15" s="100">
        <v>6</v>
      </c>
      <c r="B15" s="201" t="s">
        <v>158</v>
      </c>
      <c r="C15" s="201"/>
      <c r="D15" s="201"/>
      <c r="E15" s="201"/>
      <c r="F15" s="104">
        <f>'INFORME con FACT'!B8</f>
        <v>7</v>
      </c>
      <c r="G15" s="217"/>
      <c r="H15" s="217"/>
      <c r="I15" s="123">
        <v>300000</v>
      </c>
      <c r="J15" s="203">
        <f>I15*F15</f>
        <v>2100000</v>
      </c>
      <c r="K15" s="203"/>
      <c r="L15" s="124"/>
      <c r="M15" s="124"/>
      <c r="N15" s="124"/>
      <c r="O15" s="124"/>
      <c r="P15" s="124"/>
      <c r="Q15" s="124"/>
    </row>
    <row r="16" spans="1:17">
      <c r="A16" s="100"/>
      <c r="B16" s="201"/>
      <c r="C16" s="201"/>
      <c r="D16" s="201"/>
      <c r="E16" s="201"/>
      <c r="F16" s="100"/>
      <c r="G16" s="217"/>
      <c r="H16" s="217"/>
      <c r="I16" s="99"/>
      <c r="J16" s="203"/>
      <c r="K16" s="203"/>
      <c r="L16" s="124"/>
      <c r="M16" s="124"/>
      <c r="N16" s="124"/>
      <c r="O16" s="124"/>
      <c r="P16" s="124"/>
      <c r="Q16" s="124"/>
    </row>
    <row r="17" spans="1:17">
      <c r="A17" s="100"/>
      <c r="B17" s="201"/>
      <c r="C17" s="201"/>
      <c r="D17" s="201"/>
      <c r="E17" s="201"/>
      <c r="F17" s="100"/>
      <c r="G17" s="217"/>
      <c r="H17" s="217"/>
      <c r="I17" s="99"/>
      <c r="J17" s="203"/>
      <c r="K17" s="203"/>
      <c r="L17" s="124"/>
      <c r="M17" s="124"/>
      <c r="N17" s="124"/>
      <c r="O17" s="124"/>
      <c r="P17" s="124"/>
      <c r="Q17" s="124"/>
    </row>
    <row r="18" spans="1:17">
      <c r="A18" s="100"/>
      <c r="B18" s="201"/>
      <c r="C18" s="201"/>
      <c r="D18" s="201"/>
      <c r="E18" s="201"/>
      <c r="F18" s="100"/>
      <c r="G18" s="217"/>
      <c r="H18" s="217"/>
      <c r="I18" s="99"/>
      <c r="J18" s="203"/>
      <c r="K18" s="203"/>
      <c r="L18" s="124"/>
      <c r="M18" s="124"/>
      <c r="N18" s="124"/>
      <c r="O18" s="124"/>
      <c r="P18" s="124"/>
      <c r="Q18" s="124"/>
    </row>
    <row r="19" spans="1:17">
      <c r="A19" s="100"/>
      <c r="B19" s="201"/>
      <c r="C19" s="201"/>
      <c r="D19" s="201"/>
      <c r="E19" s="201"/>
      <c r="F19" s="100"/>
      <c r="G19" s="217"/>
      <c r="H19" s="217"/>
      <c r="I19" s="99"/>
      <c r="J19" s="203"/>
      <c r="K19" s="203"/>
      <c r="L19" s="124"/>
      <c r="M19" s="124"/>
      <c r="N19" s="124"/>
      <c r="O19" s="124"/>
      <c r="P19" s="124"/>
      <c r="Q19" s="124"/>
    </row>
    <row r="20" spans="1:17">
      <c r="G20" s="205" t="s">
        <v>154</v>
      </c>
      <c r="H20" s="205"/>
      <c r="I20" s="97"/>
      <c r="J20" s="203">
        <f>SUM(J10:K19)</f>
        <v>9413900</v>
      </c>
      <c r="K20" s="203"/>
      <c r="L20" s="124"/>
      <c r="M20" s="124"/>
      <c r="N20" s="124"/>
      <c r="O20" s="124"/>
      <c r="P20" s="124"/>
      <c r="Q20" s="124"/>
    </row>
    <row r="21" spans="1:17">
      <c r="G21" s="213"/>
      <c r="H21" s="214"/>
      <c r="I21" s="98"/>
      <c r="J21" s="215"/>
      <c r="K21" s="216"/>
      <c r="L21" s="124"/>
      <c r="M21" s="124"/>
      <c r="N21" s="124"/>
      <c r="O21" s="124"/>
      <c r="P21" s="124"/>
      <c r="Q21" s="124"/>
    </row>
    <row r="22" spans="1:17">
      <c r="G22" s="205" t="s">
        <v>52</v>
      </c>
      <c r="H22" s="205"/>
      <c r="I22" s="97"/>
      <c r="J22" s="203">
        <f>J20*1.05</f>
        <v>9884595</v>
      </c>
      <c r="K22" s="203"/>
      <c r="L22" s="124"/>
      <c r="M22" s="124"/>
      <c r="N22" s="124"/>
      <c r="O22" s="124"/>
      <c r="P22" s="124"/>
      <c r="Q22" s="124"/>
    </row>
    <row r="23" spans="1:17">
      <c r="G23" s="96"/>
      <c r="H23" s="96"/>
      <c r="I23" s="96"/>
      <c r="J23" s="93"/>
      <c r="K23" s="93"/>
      <c r="L23" s="124"/>
      <c r="M23" s="124"/>
      <c r="N23" s="124"/>
      <c r="O23" s="124"/>
      <c r="P23" s="124"/>
      <c r="Q23" s="124"/>
    </row>
    <row r="24" spans="1:17" ht="21">
      <c r="A24" s="204" t="s">
        <v>157</v>
      </c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124"/>
      <c r="M24" s="124"/>
      <c r="N24" s="124"/>
      <c r="O24" s="124"/>
      <c r="P24" s="124"/>
      <c r="Q24" s="124"/>
    </row>
    <row r="25" spans="1:17" ht="18" customHeight="1">
      <c r="A25" s="209" t="s">
        <v>157</v>
      </c>
      <c r="B25" s="210"/>
      <c r="C25" s="210"/>
      <c r="D25" s="210"/>
      <c r="E25" s="210"/>
      <c r="F25" s="210" t="s">
        <v>146</v>
      </c>
      <c r="G25" s="210"/>
      <c r="H25" s="210"/>
      <c r="I25" s="210"/>
      <c r="J25" s="210"/>
      <c r="K25" s="210"/>
      <c r="L25" s="124"/>
      <c r="M25" s="124"/>
      <c r="N25" s="124"/>
      <c r="O25" s="124"/>
      <c r="P25" s="124"/>
      <c r="Q25" s="124"/>
    </row>
    <row r="26" spans="1:17" ht="15.95" customHeight="1">
      <c r="A26" s="211" t="s">
        <v>156</v>
      </c>
      <c r="B26" s="211"/>
      <c r="C26" s="211"/>
      <c r="D26" s="211"/>
      <c r="E26" s="211"/>
      <c r="F26" s="212">
        <v>0</v>
      </c>
      <c r="G26" s="212"/>
      <c r="H26" s="212"/>
      <c r="I26" s="212"/>
      <c r="J26" s="212"/>
      <c r="K26" s="212"/>
      <c r="L26" s="124"/>
      <c r="M26" s="124"/>
      <c r="N26" s="124"/>
      <c r="O26" s="124"/>
      <c r="P26" s="124"/>
      <c r="Q26" s="124"/>
    </row>
    <row r="27" spans="1:17" ht="18" customHeight="1">
      <c r="A27" s="211" t="s">
        <v>155</v>
      </c>
      <c r="B27" s="211"/>
      <c r="C27" s="211"/>
      <c r="D27" s="211"/>
      <c r="E27" s="211"/>
      <c r="F27" s="212">
        <v>0</v>
      </c>
      <c r="G27" s="212"/>
      <c r="H27" s="212"/>
      <c r="I27" s="212"/>
      <c r="J27" s="212"/>
      <c r="K27" s="212"/>
      <c r="L27" s="124"/>
      <c r="M27" s="124"/>
      <c r="N27" s="124"/>
      <c r="O27" s="124"/>
      <c r="P27" s="124"/>
      <c r="Q27" s="124"/>
    </row>
    <row r="28" spans="1:17" ht="18" customHeight="1">
      <c r="A28" s="95"/>
      <c r="B28" s="95"/>
      <c r="C28" s="95"/>
      <c r="D28" s="95"/>
      <c r="E28" s="95"/>
      <c r="F28" s="95"/>
      <c r="G28" s="206" t="s">
        <v>154</v>
      </c>
      <c r="H28" s="206"/>
      <c r="I28" s="90"/>
      <c r="J28" s="207">
        <f>(SUM(F26:K27))*1.3</f>
        <v>0</v>
      </c>
      <c r="K28" s="207"/>
      <c r="L28" s="124"/>
      <c r="M28" s="124"/>
      <c r="N28" s="124"/>
      <c r="O28" s="124"/>
      <c r="P28" s="124"/>
      <c r="Q28" s="124"/>
    </row>
    <row r="29" spans="1:17">
      <c r="L29" s="124"/>
      <c r="M29" s="124"/>
      <c r="N29" s="124"/>
      <c r="O29" s="124"/>
      <c r="P29" s="124"/>
      <c r="Q29" s="124"/>
    </row>
    <row r="30" spans="1:17" ht="21">
      <c r="A30" s="204" t="s">
        <v>153</v>
      </c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124"/>
      <c r="M30" s="124"/>
      <c r="N30" s="124"/>
      <c r="O30" s="124"/>
      <c r="P30" s="124"/>
      <c r="Q30" s="124"/>
    </row>
    <row r="31" spans="1:17">
      <c r="A31" s="205" t="s">
        <v>152</v>
      </c>
      <c r="B31" s="205"/>
      <c r="C31" s="205"/>
      <c r="D31" s="205" t="s">
        <v>151</v>
      </c>
      <c r="E31" s="205"/>
      <c r="F31" s="205"/>
      <c r="G31" s="205"/>
      <c r="H31" s="205" t="s">
        <v>146</v>
      </c>
      <c r="I31" s="205"/>
      <c r="J31" s="205"/>
      <c r="K31" s="205"/>
      <c r="L31" s="124"/>
      <c r="M31" s="124"/>
      <c r="N31" s="124"/>
      <c r="O31" s="124"/>
      <c r="P31" s="124"/>
      <c r="Q31" s="124"/>
    </row>
    <row r="32" spans="1:17">
      <c r="A32" s="208" t="s">
        <v>150</v>
      </c>
      <c r="B32" s="208"/>
      <c r="C32" s="208"/>
      <c r="D32" s="201"/>
      <c r="E32" s="201"/>
      <c r="F32" s="201"/>
      <c r="G32" s="201"/>
      <c r="H32" s="203">
        <f>(J28+J22)*0.15</f>
        <v>1482689.25</v>
      </c>
      <c r="I32" s="203"/>
      <c r="J32" s="203"/>
      <c r="K32" s="203"/>
      <c r="L32" s="124"/>
      <c r="M32" s="124"/>
      <c r="N32" s="124"/>
      <c r="O32" s="124"/>
      <c r="P32" s="124"/>
      <c r="Q32" s="124"/>
    </row>
    <row r="33" spans="1:17">
      <c r="A33" s="201"/>
      <c r="B33" s="201"/>
      <c r="C33" s="201"/>
      <c r="D33" s="201"/>
      <c r="E33" s="201"/>
      <c r="F33" s="201"/>
      <c r="G33" s="201"/>
      <c r="H33" s="203">
        <v>0</v>
      </c>
      <c r="I33" s="203"/>
      <c r="J33" s="203"/>
      <c r="K33" s="203"/>
      <c r="L33" s="124"/>
      <c r="M33" s="124"/>
      <c r="N33" s="124"/>
      <c r="O33" s="124"/>
      <c r="P33" s="124"/>
      <c r="Q33" s="124"/>
    </row>
    <row r="34" spans="1:17">
      <c r="A34" s="201"/>
      <c r="B34" s="201"/>
      <c r="C34" s="201"/>
      <c r="D34" s="201"/>
      <c r="E34" s="201"/>
      <c r="F34" s="201"/>
      <c r="G34" s="201"/>
      <c r="H34" s="203">
        <v>0</v>
      </c>
      <c r="I34" s="203"/>
      <c r="J34" s="203"/>
      <c r="K34" s="203"/>
      <c r="L34" s="124"/>
      <c r="M34" s="124"/>
      <c r="N34" s="124"/>
      <c r="O34" s="124"/>
      <c r="P34" s="124"/>
      <c r="Q34" s="124"/>
    </row>
    <row r="35" spans="1:17">
      <c r="A35" s="201"/>
      <c r="B35" s="201"/>
      <c r="C35" s="201"/>
      <c r="D35" s="201"/>
      <c r="E35" s="201"/>
      <c r="F35" s="201"/>
      <c r="G35" s="201"/>
      <c r="H35" s="203"/>
      <c r="I35" s="203"/>
      <c r="J35" s="203"/>
      <c r="K35" s="203"/>
      <c r="L35" s="124"/>
      <c r="M35" s="124"/>
      <c r="N35" s="124"/>
      <c r="O35" s="124"/>
      <c r="P35" s="124"/>
      <c r="Q35" s="124"/>
    </row>
    <row r="36" spans="1:17">
      <c r="A36" s="201"/>
      <c r="B36" s="201"/>
      <c r="C36" s="201"/>
      <c r="D36" s="201"/>
      <c r="E36" s="201"/>
      <c r="F36" s="201"/>
      <c r="G36" s="201"/>
      <c r="H36" s="203"/>
      <c r="I36" s="203"/>
      <c r="J36" s="203"/>
      <c r="K36" s="203"/>
      <c r="L36" s="124"/>
      <c r="M36" s="124"/>
      <c r="N36" s="124"/>
      <c r="O36" s="124"/>
      <c r="P36" s="124"/>
      <c r="Q36" s="124"/>
    </row>
    <row r="37" spans="1:17">
      <c r="G37" s="206" t="s">
        <v>52</v>
      </c>
      <c r="H37" s="206"/>
      <c r="I37" s="90"/>
      <c r="J37" s="207">
        <f>(SUM(H32:K36))*1.05</f>
        <v>1556823.7125000001</v>
      </c>
      <c r="K37" s="207"/>
      <c r="L37" s="124"/>
      <c r="M37" s="124"/>
      <c r="N37" s="124"/>
      <c r="O37" s="124"/>
      <c r="P37" s="124"/>
      <c r="Q37" s="124"/>
    </row>
    <row r="38" spans="1:17">
      <c r="G38" s="94"/>
      <c r="H38" s="94"/>
      <c r="I38" s="94"/>
      <c r="J38" s="93"/>
      <c r="K38" s="93"/>
      <c r="L38" s="124"/>
      <c r="M38" s="124"/>
      <c r="N38" s="124"/>
      <c r="O38" s="124"/>
      <c r="P38" s="124"/>
      <c r="Q38" s="124"/>
    </row>
    <row r="39" spans="1:17">
      <c r="G39" s="202" t="s">
        <v>149</v>
      </c>
      <c r="H39" s="202"/>
      <c r="I39" s="92"/>
      <c r="J39" s="203">
        <f>J22+J37+J28</f>
        <v>11441418.7125</v>
      </c>
      <c r="K39" s="203"/>
      <c r="L39" s="124"/>
      <c r="M39" s="124"/>
      <c r="N39" s="124"/>
      <c r="O39" s="124"/>
      <c r="P39" s="124"/>
      <c r="Q39" s="124"/>
    </row>
    <row r="40" spans="1:17">
      <c r="G40" s="91"/>
      <c r="H40" s="91"/>
      <c r="I40" s="91"/>
      <c r="L40" s="124"/>
      <c r="M40" s="124"/>
      <c r="N40" s="124"/>
      <c r="O40" s="124"/>
      <c r="P40" s="124"/>
      <c r="Q40" s="124"/>
    </row>
    <row r="41" spans="1:17" ht="21">
      <c r="A41" s="204" t="s">
        <v>148</v>
      </c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124"/>
      <c r="M41" s="124"/>
      <c r="N41" s="124"/>
      <c r="O41" s="124"/>
      <c r="P41" s="124"/>
      <c r="Q41" s="124"/>
    </row>
    <row r="42" spans="1:17">
      <c r="D42" s="205" t="s">
        <v>147</v>
      </c>
      <c r="E42" s="205"/>
      <c r="F42" s="205"/>
      <c r="G42" s="205"/>
      <c r="H42" s="205" t="s">
        <v>146</v>
      </c>
      <c r="I42" s="205"/>
      <c r="J42" s="205"/>
      <c r="K42" s="205"/>
      <c r="L42" s="124"/>
      <c r="M42" s="124"/>
      <c r="N42" s="124"/>
      <c r="O42" s="124"/>
      <c r="P42" s="124"/>
      <c r="Q42" s="124"/>
    </row>
    <row r="43" spans="1:17">
      <c r="D43" s="201" t="s">
        <v>145</v>
      </c>
      <c r="E43" s="201"/>
      <c r="F43" s="201"/>
      <c r="G43" s="201"/>
      <c r="H43" s="200">
        <f>J39*0.1</f>
        <v>1144141.8712500001</v>
      </c>
      <c r="I43" s="200"/>
      <c r="J43" s="201"/>
      <c r="K43" s="201"/>
      <c r="L43" s="124"/>
      <c r="M43" s="124"/>
      <c r="N43" s="124"/>
      <c r="O43" s="124"/>
      <c r="P43" s="124"/>
      <c r="Q43" s="124"/>
    </row>
    <row r="44" spans="1:17">
      <c r="D44" s="201" t="s">
        <v>144</v>
      </c>
      <c r="E44" s="201"/>
      <c r="F44" s="201"/>
      <c r="G44" s="201"/>
      <c r="H44" s="200">
        <f>J39*0.06</f>
        <v>686485.12274999998</v>
      </c>
      <c r="I44" s="200"/>
      <c r="J44" s="201"/>
      <c r="K44" s="201"/>
      <c r="L44" s="124"/>
      <c r="M44" s="124"/>
      <c r="N44" s="124"/>
      <c r="O44" s="124"/>
      <c r="P44" s="124"/>
      <c r="Q44" s="124"/>
    </row>
    <row r="45" spans="1:17">
      <c r="D45" s="201" t="s">
        <v>178</v>
      </c>
      <c r="E45" s="201"/>
      <c r="F45" s="201"/>
      <c r="G45" s="201"/>
      <c r="H45" s="197">
        <f>J39*0.05</f>
        <v>572070.93562500004</v>
      </c>
      <c r="I45" s="198"/>
      <c r="J45" s="198"/>
      <c r="K45" s="199"/>
      <c r="L45" s="124"/>
      <c r="M45" s="124"/>
      <c r="N45" s="124"/>
      <c r="O45" s="124"/>
      <c r="P45" s="124"/>
      <c r="Q45" s="124"/>
    </row>
    <row r="46" spans="1:17">
      <c r="D46" s="194" t="s">
        <v>143</v>
      </c>
      <c r="E46" s="195"/>
      <c r="F46" s="195"/>
      <c r="G46" s="196"/>
      <c r="H46" s="197">
        <f>J39*0.1</f>
        <v>1144141.8712500001</v>
      </c>
      <c r="I46" s="198"/>
      <c r="J46" s="198"/>
      <c r="K46" s="199"/>
      <c r="L46" s="124"/>
      <c r="M46" s="124"/>
      <c r="N46" s="124"/>
      <c r="O46" s="124"/>
      <c r="P46" s="124"/>
      <c r="Q46" s="124"/>
    </row>
    <row r="47" spans="1:17">
      <c r="D47" s="194" t="s">
        <v>142</v>
      </c>
      <c r="E47" s="195"/>
      <c r="F47" s="195"/>
      <c r="G47" s="196"/>
      <c r="H47" s="200">
        <f>J39+(SUM(H43:K46))</f>
        <v>14988258.513374999</v>
      </c>
      <c r="I47" s="200"/>
      <c r="J47" s="201"/>
      <c r="K47" s="201"/>
      <c r="L47" s="124"/>
      <c r="M47" s="124"/>
      <c r="N47" s="124"/>
      <c r="O47" s="124"/>
      <c r="P47" s="124"/>
      <c r="Q47" s="124"/>
    </row>
    <row r="48" spans="1:17">
      <c r="D48" s="194" t="s">
        <v>141</v>
      </c>
      <c r="E48" s="195"/>
      <c r="F48" s="195"/>
      <c r="G48" s="196"/>
      <c r="H48" s="200">
        <f>H47*0.16</f>
        <v>2398121.3621399999</v>
      </c>
      <c r="I48" s="200"/>
      <c r="J48" s="201"/>
      <c r="K48" s="201"/>
      <c r="L48" s="124"/>
      <c r="M48" s="124"/>
      <c r="N48" s="124"/>
      <c r="O48" s="124"/>
      <c r="P48" s="124"/>
      <c r="Q48" s="124"/>
    </row>
    <row r="49" spans="7:17">
      <c r="G49" s="180" t="s">
        <v>140</v>
      </c>
      <c r="H49" s="181"/>
      <c r="I49" s="105">
        <f>SUM(H47:K48)</f>
        <v>17386379.875514999</v>
      </c>
      <c r="J49" s="106"/>
      <c r="K49" s="107"/>
      <c r="L49" s="124"/>
      <c r="M49" s="124"/>
      <c r="N49" s="124"/>
      <c r="O49" s="124"/>
      <c r="P49" s="124"/>
      <c r="Q49" s="124"/>
    </row>
    <row r="50" spans="7:17">
      <c r="L50" s="124"/>
      <c r="M50" s="124"/>
      <c r="N50" s="124"/>
      <c r="O50" s="124"/>
      <c r="P50" s="124"/>
      <c r="Q50" s="124"/>
    </row>
    <row r="51" spans="7:17">
      <c r="G51" s="182" t="s">
        <v>139</v>
      </c>
      <c r="H51" s="183"/>
      <c r="I51" s="183"/>
      <c r="J51" s="183"/>
      <c r="K51" s="184"/>
      <c r="L51" s="124"/>
      <c r="M51" s="124"/>
      <c r="N51" s="124"/>
      <c r="O51" s="124"/>
      <c r="P51" s="124"/>
      <c r="Q51" s="124"/>
    </row>
    <row r="52" spans="7:17">
      <c r="G52" s="185"/>
      <c r="H52" s="186"/>
      <c r="I52" s="186"/>
      <c r="J52" s="186"/>
      <c r="K52" s="187"/>
    </row>
    <row r="53" spans="7:17">
      <c r="G53" s="188">
        <f>I49</f>
        <v>17386379.875514999</v>
      </c>
      <c r="H53" s="189"/>
      <c r="I53" s="189"/>
      <c r="J53" s="189"/>
      <c r="K53" s="190"/>
    </row>
    <row r="54" spans="7:17">
      <c r="G54" s="191"/>
      <c r="H54" s="192"/>
      <c r="I54" s="192"/>
      <c r="J54" s="192"/>
      <c r="K54" s="193"/>
    </row>
    <row r="60" spans="7:17">
      <c r="H60" s="89"/>
      <c r="I60" s="89"/>
    </row>
  </sheetData>
  <mergeCells count="95">
    <mergeCell ref="B5:D5"/>
    <mergeCell ref="F5:K5"/>
    <mergeCell ref="A2:K4"/>
    <mergeCell ref="B6:D6"/>
    <mergeCell ref="F6:K6"/>
    <mergeCell ref="A8:K8"/>
    <mergeCell ref="B9:E9"/>
    <mergeCell ref="G9:H9"/>
    <mergeCell ref="J9:K9"/>
    <mergeCell ref="B10:E10"/>
    <mergeCell ref="G10:H10"/>
    <mergeCell ref="J10:K10"/>
    <mergeCell ref="B11:E11"/>
    <mergeCell ref="G11:H11"/>
    <mergeCell ref="J11:K11"/>
    <mergeCell ref="B12:E12"/>
    <mergeCell ref="G12:H12"/>
    <mergeCell ref="J12:K12"/>
    <mergeCell ref="B13:E13"/>
    <mergeCell ref="G13:H13"/>
    <mergeCell ref="J13:K13"/>
    <mergeCell ref="B14:E14"/>
    <mergeCell ref="G14:H14"/>
    <mergeCell ref="J14:K14"/>
    <mergeCell ref="B15:E15"/>
    <mergeCell ref="G15:H15"/>
    <mergeCell ref="J15:K15"/>
    <mergeCell ref="B16:E16"/>
    <mergeCell ref="G16:H16"/>
    <mergeCell ref="J16:K16"/>
    <mergeCell ref="B17:E17"/>
    <mergeCell ref="G17:H17"/>
    <mergeCell ref="J17:K17"/>
    <mergeCell ref="B18:E18"/>
    <mergeCell ref="G18:H18"/>
    <mergeCell ref="J18:K18"/>
    <mergeCell ref="B19:E19"/>
    <mergeCell ref="G19:H19"/>
    <mergeCell ref="J19:K19"/>
    <mergeCell ref="G20:H20"/>
    <mergeCell ref="J20:K20"/>
    <mergeCell ref="G21:H21"/>
    <mergeCell ref="J21:K21"/>
    <mergeCell ref="G22:H22"/>
    <mergeCell ref="J22:K22"/>
    <mergeCell ref="A24:K24"/>
    <mergeCell ref="A25:E25"/>
    <mergeCell ref="F25:K25"/>
    <mergeCell ref="A26:E26"/>
    <mergeCell ref="F26:K26"/>
    <mergeCell ref="A27:E27"/>
    <mergeCell ref="F27:K27"/>
    <mergeCell ref="G28:H28"/>
    <mergeCell ref="J28:K28"/>
    <mergeCell ref="A30:K30"/>
    <mergeCell ref="A31:C31"/>
    <mergeCell ref="D31:G31"/>
    <mergeCell ref="H31:K31"/>
    <mergeCell ref="A32:C32"/>
    <mergeCell ref="D32:G32"/>
    <mergeCell ref="H32:K32"/>
    <mergeCell ref="A33:C33"/>
    <mergeCell ref="D33:G33"/>
    <mergeCell ref="H33:K33"/>
    <mergeCell ref="A34:C34"/>
    <mergeCell ref="D34:G34"/>
    <mergeCell ref="H34:K34"/>
    <mergeCell ref="A35:C35"/>
    <mergeCell ref="D35:G35"/>
    <mergeCell ref="H35:K35"/>
    <mergeCell ref="A36:C36"/>
    <mergeCell ref="D36:G36"/>
    <mergeCell ref="H36:K36"/>
    <mergeCell ref="G37:H37"/>
    <mergeCell ref="J37:K37"/>
    <mergeCell ref="G39:H39"/>
    <mergeCell ref="J39:K39"/>
    <mergeCell ref="A41:K41"/>
    <mergeCell ref="D42:G42"/>
    <mergeCell ref="H42:K42"/>
    <mergeCell ref="D43:G43"/>
    <mergeCell ref="H43:K43"/>
    <mergeCell ref="D44:G44"/>
    <mergeCell ref="H44:K44"/>
    <mergeCell ref="D45:G45"/>
    <mergeCell ref="H45:K45"/>
    <mergeCell ref="G49:H49"/>
    <mergeCell ref="G51:K52"/>
    <mergeCell ref="G53:K54"/>
    <mergeCell ref="D46:G46"/>
    <mergeCell ref="H46:K46"/>
    <mergeCell ref="D47:G47"/>
    <mergeCell ref="H47:K47"/>
    <mergeCell ref="D48:G48"/>
    <mergeCell ref="H48:K48"/>
  </mergeCells>
  <pageMargins left="0.7" right="0.7" top="0.75" bottom="0.75" header="0.3" footer="0.3"/>
  <pageSetup scale="61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59"/>
  <sheetViews>
    <sheetView topLeftCell="A9" zoomScale="90" zoomScaleNormal="90" workbookViewId="0">
      <selection activeCell="C17" sqref="C17"/>
    </sheetView>
  </sheetViews>
  <sheetFormatPr baseColWidth="10" defaultRowHeight="15"/>
  <cols>
    <col min="1" max="1" width="11.85546875" style="2" customWidth="1"/>
    <col min="2" max="2" width="17" style="2" customWidth="1"/>
    <col min="3" max="3" width="15.7109375" style="2" customWidth="1"/>
    <col min="4" max="4" width="15.5703125" style="2" customWidth="1"/>
    <col min="5" max="5" width="12.140625" style="2" customWidth="1"/>
    <col min="6" max="6" width="15.5703125" style="2" customWidth="1"/>
    <col min="7" max="7" width="16.42578125" style="2" customWidth="1"/>
    <col min="8" max="8" width="13.5703125" style="2" bestFit="1" customWidth="1"/>
    <col min="9" max="9" width="14.85546875" style="2" customWidth="1"/>
    <col min="10" max="14" width="11.42578125" style="2"/>
    <col min="15" max="15" width="14.5703125" style="2" bestFit="1" customWidth="1"/>
    <col min="16" max="17" width="11.42578125" style="2"/>
    <col min="18" max="18" width="20.28515625" style="2" customWidth="1"/>
    <col min="19" max="19" width="25.7109375" style="2" bestFit="1" customWidth="1"/>
    <col min="20" max="16384" width="11.42578125" style="2"/>
  </cols>
  <sheetData>
    <row r="2" spans="1:19">
      <c r="D2" s="54"/>
      <c r="E2" s="54"/>
      <c r="F2" s="54"/>
      <c r="G2" s="54"/>
      <c r="H2" s="54"/>
      <c r="I2" s="54"/>
      <c r="J2" s="52"/>
      <c r="K2" s="52"/>
      <c r="L2" s="52"/>
      <c r="M2" s="52"/>
      <c r="N2" s="52"/>
      <c r="O2" s="52"/>
      <c r="P2" s="52"/>
    </row>
    <row r="3" spans="1:19" ht="20.25" customHeight="1">
      <c r="A3" s="58"/>
      <c r="B3" s="231" t="s">
        <v>115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53"/>
      <c r="P3" s="53"/>
      <c r="R3" s="145" t="s">
        <v>4</v>
      </c>
      <c r="S3" s="145"/>
    </row>
    <row r="4" spans="1:19" ht="18" customHeight="1">
      <c r="A4" s="58"/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51"/>
      <c r="P4" s="51"/>
      <c r="R4" s="142"/>
      <c r="S4" s="43" t="s">
        <v>0</v>
      </c>
    </row>
    <row r="5" spans="1:19">
      <c r="A5" s="45"/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51"/>
      <c r="P5" s="51"/>
      <c r="R5" s="143"/>
      <c r="S5" s="43" t="s">
        <v>1</v>
      </c>
    </row>
    <row r="6" spans="1:19">
      <c r="A6" s="50"/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18"/>
      <c r="P6" s="18"/>
      <c r="R6" s="144"/>
      <c r="S6" s="43" t="s">
        <v>2</v>
      </c>
    </row>
    <row r="7" spans="1:19">
      <c r="A7" s="50"/>
      <c r="B7" s="50"/>
      <c r="C7" s="59"/>
      <c r="D7" s="50"/>
      <c r="E7" s="48"/>
      <c r="F7" s="48"/>
      <c r="G7" s="48"/>
      <c r="H7" s="48"/>
      <c r="I7" s="48"/>
      <c r="J7" s="49"/>
      <c r="K7" s="49"/>
      <c r="L7" s="49"/>
      <c r="M7" s="49"/>
      <c r="N7" s="49"/>
      <c r="O7" s="49"/>
      <c r="P7" s="49"/>
      <c r="S7" s="43"/>
    </row>
    <row r="8" spans="1:19">
      <c r="A8" s="50"/>
      <c r="B8" s="50"/>
      <c r="C8" s="59"/>
      <c r="D8" s="48"/>
      <c r="E8" s="48"/>
      <c r="F8" s="48"/>
      <c r="G8" s="48"/>
      <c r="H8" s="48"/>
      <c r="I8" s="48"/>
      <c r="J8" s="49"/>
      <c r="K8" s="49"/>
      <c r="L8" s="49"/>
      <c r="M8" s="49"/>
      <c r="N8" s="49"/>
      <c r="O8" s="49"/>
      <c r="P8" s="49"/>
      <c r="R8" s="145" t="s">
        <v>5</v>
      </c>
      <c r="S8" s="145"/>
    </row>
    <row r="9" spans="1:19">
      <c r="A9" s="50"/>
      <c r="B9" s="50"/>
      <c r="D9" s="50"/>
      <c r="E9" s="50"/>
      <c r="F9" s="50"/>
      <c r="G9" s="50"/>
      <c r="H9" s="50"/>
      <c r="I9" s="53"/>
      <c r="J9" s="51"/>
      <c r="K9" s="51"/>
      <c r="L9" s="51"/>
      <c r="M9" s="51"/>
      <c r="N9" s="51"/>
      <c r="O9" s="51"/>
      <c r="P9" s="51"/>
      <c r="R9" s="131"/>
      <c r="S9" s="132"/>
    </row>
    <row r="10" spans="1:19">
      <c r="D10" s="50"/>
      <c r="E10" s="50"/>
      <c r="F10" s="50"/>
      <c r="G10" s="50"/>
      <c r="H10" s="50"/>
      <c r="I10" s="50"/>
      <c r="J10" s="50"/>
      <c r="K10" s="50"/>
      <c r="R10" s="135"/>
      <c r="S10" s="136"/>
    </row>
    <row r="11" spans="1:19">
      <c r="A11" s="46"/>
    </row>
    <row r="12" spans="1:19">
      <c r="A12" s="46"/>
      <c r="B12" s="47" t="s">
        <v>96</v>
      </c>
      <c r="C12" s="4">
        <v>0.13500000000000001</v>
      </c>
      <c r="D12" s="4">
        <v>0.11</v>
      </c>
      <c r="E12" s="4">
        <v>0.39</v>
      </c>
      <c r="F12" s="4">
        <v>0.28000000000000003</v>
      </c>
      <c r="G12" s="4">
        <v>0.28000000000000003</v>
      </c>
      <c r="H12" s="4">
        <v>0.25</v>
      </c>
      <c r="I12" s="4">
        <v>0.28999999999999998</v>
      </c>
      <c r="J12" s="4">
        <v>0.06</v>
      </c>
      <c r="K12" s="4">
        <v>0.04</v>
      </c>
      <c r="L12" s="4">
        <v>0.82</v>
      </c>
      <c r="M12" s="4">
        <v>0.08</v>
      </c>
      <c r="N12" s="4">
        <v>0.47</v>
      </c>
      <c r="R12" s="145" t="s">
        <v>6</v>
      </c>
      <c r="S12" s="145"/>
    </row>
    <row r="13" spans="1:19" ht="15" customHeight="1">
      <c r="A13" s="46"/>
      <c r="B13" s="47" t="s">
        <v>98</v>
      </c>
      <c r="C13" s="47">
        <f>C12*1000</f>
        <v>135</v>
      </c>
      <c r="D13" s="47">
        <f t="shared" ref="D13:N13" si="0">D12*1000</f>
        <v>110</v>
      </c>
      <c r="E13" s="47">
        <f t="shared" si="0"/>
        <v>390</v>
      </c>
      <c r="F13" s="47">
        <f t="shared" si="0"/>
        <v>280</v>
      </c>
      <c r="G13" s="47">
        <f t="shared" si="0"/>
        <v>280</v>
      </c>
      <c r="H13" s="47">
        <f t="shared" si="0"/>
        <v>250</v>
      </c>
      <c r="I13" s="47">
        <f t="shared" si="0"/>
        <v>290</v>
      </c>
      <c r="J13" s="47">
        <f t="shared" si="0"/>
        <v>60</v>
      </c>
      <c r="K13" s="47">
        <f t="shared" si="0"/>
        <v>40</v>
      </c>
      <c r="L13" s="47">
        <f t="shared" si="0"/>
        <v>820</v>
      </c>
      <c r="M13" s="47">
        <f t="shared" si="0"/>
        <v>80</v>
      </c>
      <c r="N13" s="47">
        <f t="shared" si="0"/>
        <v>470</v>
      </c>
      <c r="R13" s="131"/>
      <c r="S13" s="132"/>
    </row>
    <row r="14" spans="1:19">
      <c r="A14" s="46"/>
      <c r="B14" s="47" t="s">
        <v>95</v>
      </c>
      <c r="C14" s="4">
        <v>540</v>
      </c>
      <c r="D14" s="4">
        <v>1184</v>
      </c>
      <c r="E14" s="4">
        <v>260</v>
      </c>
      <c r="F14" s="4">
        <v>327</v>
      </c>
      <c r="G14" s="4">
        <v>390</v>
      </c>
      <c r="H14" s="4">
        <v>323</v>
      </c>
      <c r="I14" s="4">
        <v>671</v>
      </c>
      <c r="J14" s="4">
        <v>4301</v>
      </c>
      <c r="K14" s="4">
        <v>5845</v>
      </c>
      <c r="L14" s="4">
        <v>257</v>
      </c>
      <c r="M14" s="4">
        <v>2391</v>
      </c>
      <c r="N14" s="4">
        <v>468</v>
      </c>
      <c r="O14" s="60"/>
      <c r="P14" s="60"/>
      <c r="R14" s="133"/>
      <c r="S14" s="134"/>
    </row>
    <row r="15" spans="1:19">
      <c r="A15" s="46"/>
      <c r="B15" s="65" t="s">
        <v>111</v>
      </c>
      <c r="C15" s="66" t="s">
        <v>99</v>
      </c>
      <c r="D15" s="66" t="s">
        <v>100</v>
      </c>
      <c r="E15" s="66" t="s">
        <v>101</v>
      </c>
      <c r="F15" s="66" t="s">
        <v>102</v>
      </c>
      <c r="G15" s="66" t="s">
        <v>103</v>
      </c>
      <c r="H15" s="66" t="s">
        <v>104</v>
      </c>
      <c r="I15" s="66" t="s">
        <v>105</v>
      </c>
      <c r="J15" s="66" t="s">
        <v>106</v>
      </c>
      <c r="K15" s="66" t="s">
        <v>107</v>
      </c>
      <c r="L15" s="66" t="s">
        <v>108</v>
      </c>
      <c r="M15" s="66" t="s">
        <v>109</v>
      </c>
      <c r="N15" s="66" t="s">
        <v>112</v>
      </c>
      <c r="R15" s="135"/>
      <c r="S15" s="136"/>
    </row>
    <row r="16" spans="1:19" ht="15" customHeight="1">
      <c r="A16" s="46"/>
      <c r="B16" s="47" t="s">
        <v>92</v>
      </c>
      <c r="C16" s="84">
        <f>C13*C14</f>
        <v>72900</v>
      </c>
      <c r="D16" s="84">
        <f t="shared" ref="D16:N16" si="1">D13*D14</f>
        <v>130240</v>
      </c>
      <c r="E16" s="84">
        <f t="shared" si="1"/>
        <v>101400</v>
      </c>
      <c r="F16" s="84">
        <f t="shared" si="1"/>
        <v>91560</v>
      </c>
      <c r="G16" s="84">
        <f t="shared" si="1"/>
        <v>109200</v>
      </c>
      <c r="H16" s="84">
        <f t="shared" si="1"/>
        <v>80750</v>
      </c>
      <c r="I16" s="84">
        <f t="shared" si="1"/>
        <v>194590</v>
      </c>
      <c r="J16" s="84">
        <f t="shared" si="1"/>
        <v>258060</v>
      </c>
      <c r="K16" s="84">
        <f t="shared" si="1"/>
        <v>233800</v>
      </c>
      <c r="L16" s="84">
        <f t="shared" si="1"/>
        <v>210740</v>
      </c>
      <c r="M16" s="84">
        <f t="shared" si="1"/>
        <v>191280</v>
      </c>
      <c r="N16" s="84">
        <f t="shared" si="1"/>
        <v>219960</v>
      </c>
      <c r="R16" s="139" t="s">
        <v>7</v>
      </c>
      <c r="S16" s="22">
        <v>0.05</v>
      </c>
    </row>
    <row r="17" spans="1:24" ht="18" customHeight="1">
      <c r="A17" s="46"/>
      <c r="B17" s="47" t="s">
        <v>91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R17" s="140"/>
      <c r="S17" s="26">
        <v>0.1</v>
      </c>
    </row>
    <row r="18" spans="1:24" ht="18" customHeight="1">
      <c r="A18" s="61"/>
      <c r="B18" s="47" t="s">
        <v>9</v>
      </c>
      <c r="C18" s="4">
        <f t="shared" ref="C18:H18" si="2">C16*C17</f>
        <v>72900</v>
      </c>
      <c r="D18" s="4">
        <f t="shared" si="2"/>
        <v>130240</v>
      </c>
      <c r="E18" s="4">
        <f t="shared" si="2"/>
        <v>101400</v>
      </c>
      <c r="F18" s="4">
        <f t="shared" si="2"/>
        <v>91560</v>
      </c>
      <c r="G18" s="4">
        <f t="shared" si="2"/>
        <v>109200</v>
      </c>
      <c r="H18" s="4">
        <f t="shared" si="2"/>
        <v>80750</v>
      </c>
      <c r="I18" s="4">
        <f t="shared" ref="I18" si="3">I16*I17</f>
        <v>194590</v>
      </c>
      <c r="J18" s="4">
        <f t="shared" ref="J18" si="4">J16*J17</f>
        <v>258060</v>
      </c>
      <c r="K18" s="4">
        <f t="shared" ref="K18" si="5">K16*K17</f>
        <v>233800</v>
      </c>
      <c r="L18" s="4">
        <f t="shared" ref="L18" si="6">L16*L17</f>
        <v>210740</v>
      </c>
      <c r="M18" s="4">
        <f t="shared" ref="M18" si="7">M16*M17</f>
        <v>191280</v>
      </c>
      <c r="N18" s="4">
        <f t="shared" ref="N18" si="8">N16*N17</f>
        <v>219960</v>
      </c>
      <c r="R18" s="141"/>
      <c r="S18" s="23"/>
    </row>
    <row r="19" spans="1:24" ht="18" customHeight="1">
      <c r="A19" s="46"/>
      <c r="B19" s="47" t="s">
        <v>19</v>
      </c>
      <c r="C19" s="4">
        <v>0.7</v>
      </c>
      <c r="D19" s="108">
        <v>0.7</v>
      </c>
      <c r="E19" s="108">
        <v>0.7</v>
      </c>
      <c r="F19" s="108">
        <v>0.7</v>
      </c>
      <c r="G19" s="108">
        <v>0.7</v>
      </c>
      <c r="H19" s="108">
        <v>0.7</v>
      </c>
      <c r="I19" s="108">
        <v>0.7</v>
      </c>
      <c r="J19" s="108">
        <v>0.7</v>
      </c>
      <c r="K19" s="108">
        <v>0.7</v>
      </c>
      <c r="L19" s="108">
        <v>0.7</v>
      </c>
      <c r="M19" s="108">
        <v>0.7</v>
      </c>
      <c r="N19" s="108">
        <v>0.7</v>
      </c>
      <c r="R19" s="24" t="s">
        <v>18</v>
      </c>
      <c r="S19" s="26">
        <v>0.05</v>
      </c>
    </row>
    <row r="20" spans="1:24">
      <c r="A20" s="46"/>
      <c r="B20" s="4" t="s">
        <v>10</v>
      </c>
      <c r="C20" s="4">
        <f>C18/C19</f>
        <v>104142.85714285714</v>
      </c>
      <c r="D20" s="4">
        <f>D18/D19</f>
        <v>186057.14285714287</v>
      </c>
      <c r="E20" s="4">
        <f>E18/E19</f>
        <v>144857.14285714287</v>
      </c>
      <c r="F20" s="4">
        <f t="shared" ref="F20:H20" si="9">F18/F19</f>
        <v>130800.00000000001</v>
      </c>
      <c r="G20" s="4">
        <f t="shared" si="9"/>
        <v>156000</v>
      </c>
      <c r="H20" s="4">
        <f t="shared" si="9"/>
        <v>115357.14285714287</v>
      </c>
      <c r="I20" s="4">
        <f>I18/I19</f>
        <v>277985.71428571432</v>
      </c>
      <c r="J20" s="4">
        <f>J18/J19</f>
        <v>368657.1428571429</v>
      </c>
      <c r="K20" s="4">
        <f>K18/K19</f>
        <v>334000</v>
      </c>
      <c r="L20" s="4">
        <f t="shared" ref="L20:N20" si="10">L18/L19</f>
        <v>301057.1428571429</v>
      </c>
      <c r="M20" s="4">
        <f t="shared" si="10"/>
        <v>273257.1428571429</v>
      </c>
      <c r="N20" s="4">
        <f t="shared" si="10"/>
        <v>314228.57142857142</v>
      </c>
      <c r="R20" s="139" t="s">
        <v>11</v>
      </c>
      <c r="S20" s="22">
        <v>5.0000000000000001E-3</v>
      </c>
    </row>
    <row r="21" spans="1:24" ht="17.25" customHeight="1">
      <c r="A21" s="46"/>
      <c r="B21" s="47" t="s">
        <v>93</v>
      </c>
      <c r="C21" s="4">
        <f>C20/(0.9*S59*S52)</f>
        <v>46.65898617511521</v>
      </c>
      <c r="D21" s="4">
        <f>D20/(0.9*S59*S52)</f>
        <v>83.35893497183821</v>
      </c>
      <c r="E21" s="4">
        <f>E20/(0.9*S59*S52)</f>
        <v>64.900153609831037</v>
      </c>
      <c r="F21" s="4">
        <f>F20/(0.9*S59*S52)</f>
        <v>58.602150537634415</v>
      </c>
      <c r="G21" s="4">
        <f>G20/(0.9*S59*S52)</f>
        <v>69.892473118279568</v>
      </c>
      <c r="H21" s="4">
        <f>H20/(0.9*S59*S52)</f>
        <v>51.683307731694832</v>
      </c>
      <c r="I21" s="4">
        <f>I20/(0.9*S59*S52)</f>
        <v>124.54557091653868</v>
      </c>
      <c r="J21" s="4">
        <f>J20/(0.9*S59*S52)</f>
        <v>165.16897081413211</v>
      </c>
      <c r="K21" s="4">
        <f>K20/(0.9*S59*S52)</f>
        <v>149.64157706093189</v>
      </c>
      <c r="L21" s="4">
        <f>L20/(0.9*S59*S52)</f>
        <v>134.88223246287765</v>
      </c>
      <c r="M21" s="4">
        <f>M20/(0.9*S59*S52)</f>
        <v>122.42703533026115</v>
      </c>
      <c r="N21" s="4">
        <f>N20/(0.9*S59*S52)</f>
        <v>140.78341013824885</v>
      </c>
      <c r="R21" s="141"/>
      <c r="S21" s="23">
        <v>0.1</v>
      </c>
    </row>
    <row r="22" spans="1:24" ht="17.25" customHeight="1">
      <c r="A22" s="46"/>
      <c r="B22" s="47" t="s">
        <v>94</v>
      </c>
      <c r="C22" s="72"/>
      <c r="D22" s="72">
        <v>82</v>
      </c>
      <c r="E22" s="72">
        <v>64</v>
      </c>
      <c r="F22" s="72">
        <v>58</v>
      </c>
      <c r="G22" s="72">
        <v>69</v>
      </c>
      <c r="H22" s="72">
        <v>51</v>
      </c>
      <c r="I22" s="72">
        <v>123</v>
      </c>
      <c r="J22" s="72">
        <v>163</v>
      </c>
      <c r="K22" s="72">
        <v>148</v>
      </c>
      <c r="L22" s="72">
        <v>133</v>
      </c>
      <c r="M22" s="72">
        <v>121</v>
      </c>
      <c r="N22" s="72">
        <v>139</v>
      </c>
      <c r="O22" s="62">
        <f>SUM(C22:N22)</f>
        <v>1151</v>
      </c>
      <c r="P22" s="63" t="s">
        <v>110</v>
      </c>
      <c r="R22" s="24" t="s">
        <v>18</v>
      </c>
      <c r="S22" s="26">
        <v>0.1</v>
      </c>
    </row>
    <row r="23" spans="1:24" ht="15" customHeight="1">
      <c r="A23" s="50"/>
      <c r="B23" s="47" t="s">
        <v>61</v>
      </c>
      <c r="C23" s="4">
        <f>2*C22</f>
        <v>0</v>
      </c>
      <c r="D23" s="4">
        <f t="shared" ref="D23:G23" si="11">2*D22</f>
        <v>164</v>
      </c>
      <c r="E23" s="4">
        <f t="shared" si="11"/>
        <v>128</v>
      </c>
      <c r="F23" s="4">
        <f t="shared" si="11"/>
        <v>116</v>
      </c>
      <c r="G23" s="4">
        <f t="shared" si="11"/>
        <v>138</v>
      </c>
      <c r="H23" s="4">
        <f>2*H22</f>
        <v>102</v>
      </c>
      <c r="I23" s="4">
        <f>2*I22</f>
        <v>246</v>
      </c>
      <c r="J23" s="4">
        <f t="shared" ref="J23" si="12">2*J22</f>
        <v>326</v>
      </c>
      <c r="K23" s="4">
        <f t="shared" ref="K23" si="13">2*K22</f>
        <v>296</v>
      </c>
      <c r="L23" s="4">
        <f t="shared" ref="L23" si="14">2*L22</f>
        <v>266</v>
      </c>
      <c r="M23" s="4">
        <f t="shared" ref="M23" si="15">2*M22</f>
        <v>242</v>
      </c>
      <c r="N23" s="4">
        <f t="shared" ref="N23" si="16">1.62*N22</f>
        <v>225.18</v>
      </c>
      <c r="O23" s="64">
        <f>SUM(C23:N23)</f>
        <v>2249.1799999999998</v>
      </c>
      <c r="P23" s="63" t="s">
        <v>97</v>
      </c>
      <c r="R23" s="139" t="s">
        <v>12</v>
      </c>
      <c r="S23" s="22">
        <v>0.05</v>
      </c>
    </row>
    <row r="24" spans="1:24">
      <c r="A24" s="50"/>
      <c r="B24" s="50"/>
      <c r="C24" s="50"/>
      <c r="O24" s="67">
        <f>O23/10000</f>
        <v>0.22491799999999998</v>
      </c>
      <c r="P24" s="63" t="s">
        <v>113</v>
      </c>
      <c r="R24" s="140"/>
      <c r="S24" s="26">
        <f>AVERAGE(S25,S23)</f>
        <v>0.1</v>
      </c>
    </row>
    <row r="25" spans="1:24">
      <c r="C25" s="50"/>
      <c r="O25" s="68">
        <f>1-O24</f>
        <v>0.77508200000000005</v>
      </c>
      <c r="P25" s="2" t="s">
        <v>114</v>
      </c>
      <c r="R25" s="140"/>
      <c r="S25" s="26">
        <v>0.15</v>
      </c>
    </row>
    <row r="26" spans="1:24">
      <c r="B26" s="50"/>
      <c r="C26" s="50"/>
      <c r="R26" s="141"/>
      <c r="S26" s="23"/>
    </row>
    <row r="27" spans="1:24" ht="18.75" customHeight="1">
      <c r="I27" s="2" t="s">
        <v>116</v>
      </c>
      <c r="R27" s="24" t="s">
        <v>18</v>
      </c>
      <c r="S27" s="26">
        <v>0.1</v>
      </c>
    </row>
    <row r="28" spans="1:24" ht="18" customHeight="1">
      <c r="R28" s="139" t="s">
        <v>13</v>
      </c>
      <c r="S28" s="34">
        <v>2E-3</v>
      </c>
    </row>
    <row r="29" spans="1:24" ht="18" customHeight="1">
      <c r="R29" s="140"/>
      <c r="S29" s="35">
        <v>5.0000000000000001E-3</v>
      </c>
    </row>
    <row r="30" spans="1:24" ht="18" customHeight="1">
      <c r="R30" s="141"/>
      <c r="S30" s="36">
        <v>1.2E-2</v>
      </c>
    </row>
    <row r="31" spans="1:24" ht="18" customHeight="1">
      <c r="R31" s="24" t="s">
        <v>18</v>
      </c>
      <c r="S31" s="35">
        <v>5.0000000000000001E-3</v>
      </c>
    </row>
    <row r="32" spans="1:24">
      <c r="R32" s="139" t="s">
        <v>14</v>
      </c>
      <c r="S32" s="37">
        <v>4</v>
      </c>
      <c r="T32" s="148" t="s">
        <v>15</v>
      </c>
      <c r="U32" s="149"/>
      <c r="V32" s="149"/>
      <c r="W32" s="149"/>
      <c r="X32" s="150"/>
    </row>
    <row r="33" spans="7:24">
      <c r="R33" s="140"/>
      <c r="S33" s="38">
        <f>AVERAGE(S32,S34)</f>
        <v>7</v>
      </c>
      <c r="T33" s="151"/>
      <c r="U33" s="152"/>
      <c r="V33" s="152"/>
      <c r="W33" s="152"/>
      <c r="X33" s="153"/>
    </row>
    <row r="34" spans="7:24">
      <c r="R34" s="141"/>
      <c r="S34" s="38">
        <v>10</v>
      </c>
      <c r="T34" s="154"/>
      <c r="U34" s="155"/>
      <c r="V34" s="155"/>
      <c r="W34" s="155"/>
      <c r="X34" s="156"/>
    </row>
    <row r="35" spans="7:24" ht="18.75" customHeight="1">
      <c r="R35" s="24" t="s">
        <v>18</v>
      </c>
      <c r="S35" s="39">
        <v>7</v>
      </c>
      <c r="T35" s="157"/>
      <c r="U35" s="157"/>
      <c r="V35" s="157"/>
      <c r="W35" s="157"/>
      <c r="X35" s="157"/>
    </row>
    <row r="36" spans="7:24">
      <c r="G36" s="137" t="s">
        <v>79</v>
      </c>
      <c r="H36" s="137" t="s">
        <v>82</v>
      </c>
      <c r="I36" s="137"/>
      <c r="R36" s="139" t="s">
        <v>16</v>
      </c>
      <c r="S36" s="40">
        <v>0.8</v>
      </c>
      <c r="T36" s="148" t="s">
        <v>17</v>
      </c>
      <c r="U36" s="149"/>
      <c r="V36" s="149"/>
      <c r="W36" s="149"/>
      <c r="X36" s="150"/>
    </row>
    <row r="37" spans="7:24">
      <c r="G37" s="137"/>
      <c r="H37" s="33" t="s">
        <v>80</v>
      </c>
      <c r="I37" s="33" t="s">
        <v>81</v>
      </c>
      <c r="R37" s="140"/>
      <c r="S37" s="40">
        <v>0.7</v>
      </c>
      <c r="T37" s="151"/>
      <c r="U37" s="152"/>
      <c r="V37" s="152"/>
      <c r="W37" s="152"/>
      <c r="X37" s="153"/>
    </row>
    <row r="38" spans="7:24">
      <c r="G38" s="32" t="s">
        <v>83</v>
      </c>
      <c r="H38" s="21">
        <v>0.8</v>
      </c>
      <c r="I38" s="21">
        <v>0.7</v>
      </c>
      <c r="R38" s="141"/>
      <c r="S38" s="41">
        <v>0.6</v>
      </c>
      <c r="T38" s="154"/>
      <c r="U38" s="155"/>
      <c r="V38" s="155"/>
      <c r="W38" s="155"/>
      <c r="X38" s="156"/>
    </row>
    <row r="39" spans="7:24">
      <c r="G39" s="32" t="s">
        <v>84</v>
      </c>
      <c r="H39" s="21"/>
      <c r="I39" s="21"/>
      <c r="R39" s="31" t="s">
        <v>18</v>
      </c>
      <c r="S39" s="6">
        <f>H44</f>
        <v>0.7</v>
      </c>
      <c r="T39" s="157"/>
      <c r="U39" s="157"/>
      <c r="V39" s="157"/>
      <c r="W39" s="157"/>
      <c r="X39" s="157"/>
    </row>
    <row r="40" spans="7:24">
      <c r="G40" s="32" t="s">
        <v>85</v>
      </c>
      <c r="H40" s="21">
        <v>0.5</v>
      </c>
      <c r="I40" s="21">
        <v>0.3</v>
      </c>
    </row>
    <row r="41" spans="7:24">
      <c r="G41" s="32" t="s">
        <v>86</v>
      </c>
      <c r="H41" s="21">
        <v>0.6</v>
      </c>
      <c r="I41" s="21">
        <v>0.4</v>
      </c>
      <c r="R41" s="145" t="s">
        <v>20</v>
      </c>
      <c r="S41" s="145"/>
    </row>
    <row r="42" spans="7:24">
      <c r="G42" s="138" t="s">
        <v>87</v>
      </c>
      <c r="H42" s="130">
        <v>0.3</v>
      </c>
      <c r="I42" s="130">
        <v>0.2</v>
      </c>
      <c r="R42" s="130" t="s">
        <v>24</v>
      </c>
      <c r="S42" s="158" t="s">
        <v>23</v>
      </c>
    </row>
    <row r="43" spans="7:24">
      <c r="G43" s="138"/>
      <c r="H43" s="130"/>
      <c r="I43" s="130"/>
      <c r="R43" s="130"/>
      <c r="S43" s="158"/>
    </row>
    <row r="44" spans="7:24">
      <c r="G44" s="129" t="s">
        <v>18</v>
      </c>
      <c r="H44" s="130">
        <v>0.7</v>
      </c>
      <c r="I44" s="44"/>
      <c r="R44" s="7" t="s">
        <v>21</v>
      </c>
      <c r="S44" s="4">
        <v>6</v>
      </c>
    </row>
    <row r="45" spans="7:24">
      <c r="G45" s="129"/>
      <c r="H45" s="130"/>
      <c r="I45" s="44"/>
      <c r="R45" s="7" t="s">
        <v>22</v>
      </c>
      <c r="S45" s="4">
        <v>5</v>
      </c>
    </row>
    <row r="46" spans="7:24">
      <c r="R46" s="7" t="s">
        <v>25</v>
      </c>
      <c r="S46" s="4">
        <v>4.5</v>
      </c>
    </row>
    <row r="47" spans="7:24">
      <c r="R47" s="7" t="s">
        <v>26</v>
      </c>
      <c r="S47" s="4">
        <v>4.2</v>
      </c>
    </row>
    <row r="48" spans="7:24">
      <c r="R48" s="7" t="s">
        <v>27</v>
      </c>
      <c r="S48" s="4">
        <v>4.5</v>
      </c>
    </row>
    <row r="49" spans="18:19">
      <c r="R49" s="7" t="s">
        <v>28</v>
      </c>
      <c r="S49" s="4">
        <v>3.5</v>
      </c>
    </row>
    <row r="51" spans="18:19">
      <c r="R51" s="145" t="s">
        <v>30</v>
      </c>
      <c r="S51" s="145"/>
    </row>
    <row r="52" spans="18:19">
      <c r="R52" s="7" t="s">
        <v>29</v>
      </c>
      <c r="S52" s="6">
        <v>8</v>
      </c>
    </row>
    <row r="54" spans="18:19">
      <c r="R54" s="145" t="s">
        <v>32</v>
      </c>
      <c r="S54" s="145"/>
    </row>
    <row r="55" spans="18:19">
      <c r="R55" s="131"/>
      <c r="S55" s="132"/>
    </row>
    <row r="56" spans="18:19">
      <c r="R56" s="135"/>
      <c r="S56" s="136"/>
    </row>
    <row r="57" spans="18:19">
      <c r="R57" s="146" t="s">
        <v>89</v>
      </c>
      <c r="S57" s="22">
        <v>260</v>
      </c>
    </row>
    <row r="58" spans="18:19">
      <c r="R58" s="147"/>
      <c r="S58" s="23">
        <v>310</v>
      </c>
    </row>
    <row r="59" spans="18:19">
      <c r="R59" s="31" t="s">
        <v>18</v>
      </c>
      <c r="S59" s="42">
        <v>310</v>
      </c>
    </row>
  </sheetData>
  <mergeCells count="31">
    <mergeCell ref="R28:R30"/>
    <mergeCell ref="R12:S12"/>
    <mergeCell ref="R13:S15"/>
    <mergeCell ref="R16:R18"/>
    <mergeCell ref="R20:R21"/>
    <mergeCell ref="R23:R26"/>
    <mergeCell ref="R55:S56"/>
    <mergeCell ref="R57:R58"/>
    <mergeCell ref="T39:X39"/>
    <mergeCell ref="R41:S41"/>
    <mergeCell ref="G42:G43"/>
    <mergeCell ref="H42:H43"/>
    <mergeCell ref="I42:I43"/>
    <mergeCell ref="R42:R43"/>
    <mergeCell ref="S42:S43"/>
    <mergeCell ref="G44:G45"/>
    <mergeCell ref="H44:H45"/>
    <mergeCell ref="R51:S51"/>
    <mergeCell ref="R54:S54"/>
    <mergeCell ref="T32:X34"/>
    <mergeCell ref="T35:X35"/>
    <mergeCell ref="G36:G37"/>
    <mergeCell ref="H36:I36"/>
    <mergeCell ref="R36:R38"/>
    <mergeCell ref="T36:X38"/>
    <mergeCell ref="R32:R34"/>
    <mergeCell ref="R9:S10"/>
    <mergeCell ref="B3:N6"/>
    <mergeCell ref="R3:S3"/>
    <mergeCell ref="R4:R6"/>
    <mergeCell ref="R8:S8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workbookViewId="0">
      <selection activeCell="F12" sqref="F12"/>
    </sheetView>
  </sheetViews>
  <sheetFormatPr baseColWidth="10" defaultRowHeight="15"/>
  <cols>
    <col min="9" max="9" width="20.5703125" customWidth="1"/>
    <col min="10" max="10" width="21.28515625" customWidth="1"/>
  </cols>
  <sheetData>
    <row r="2" spans="2:10">
      <c r="B2" s="30"/>
      <c r="C2" s="30"/>
      <c r="D2" s="30"/>
    </row>
    <row r="3" spans="2:10">
      <c r="B3" s="27" t="s">
        <v>74</v>
      </c>
      <c r="C3" s="27" t="s">
        <v>75</v>
      </c>
      <c r="D3" s="27" t="s">
        <v>78</v>
      </c>
      <c r="I3" s="238" t="s">
        <v>67</v>
      </c>
      <c r="J3" s="238"/>
    </row>
    <row r="4" spans="2:10">
      <c r="B4" s="27">
        <f>J6*J10</f>
        <v>0</v>
      </c>
      <c r="C4" s="28" t="e">
        <f>(J18*J20)/(J22*J24)</f>
        <v>#DIV/0!</v>
      </c>
      <c r="D4" s="29" t="e">
        <f>J31/J33</f>
        <v>#DIV/0!</v>
      </c>
      <c r="I4" s="240"/>
      <c r="J4" s="241"/>
    </row>
    <row r="5" spans="2:10">
      <c r="I5" s="242"/>
      <c r="J5" s="243"/>
    </row>
    <row r="6" spans="2:10">
      <c r="I6" s="246" t="s">
        <v>68</v>
      </c>
      <c r="J6" s="234"/>
    </row>
    <row r="7" spans="2:10">
      <c r="I7" s="246"/>
      <c r="J7" s="234"/>
    </row>
    <row r="8" spans="2:10">
      <c r="I8" s="246"/>
      <c r="J8" s="234"/>
    </row>
    <row r="9" spans="2:10">
      <c r="I9" s="246"/>
      <c r="J9" s="234"/>
    </row>
    <row r="10" spans="2:10" ht="15" customHeight="1">
      <c r="I10" s="246" t="s">
        <v>69</v>
      </c>
      <c r="J10" s="130">
        <f>'Paneles ORIG'!O39</f>
        <v>0.7</v>
      </c>
    </row>
    <row r="11" spans="2:10">
      <c r="I11" s="246"/>
      <c r="J11" s="233"/>
    </row>
    <row r="12" spans="2:10">
      <c r="I12" s="246"/>
      <c r="J12" s="233"/>
    </row>
    <row r="13" spans="2:10">
      <c r="I13" s="246"/>
      <c r="J13" s="233"/>
    </row>
    <row r="15" spans="2:10">
      <c r="I15" s="238" t="s">
        <v>70</v>
      </c>
      <c r="J15" s="238"/>
    </row>
    <row r="16" spans="2:10">
      <c r="I16" s="240"/>
      <c r="J16" s="241"/>
    </row>
    <row r="17" spans="9:10">
      <c r="I17" s="242"/>
      <c r="J17" s="243"/>
    </row>
    <row r="18" spans="9:10">
      <c r="I18" s="235" t="s">
        <v>71</v>
      </c>
      <c r="J18" s="236">
        <f>'Paneles ORIG'!J8</f>
        <v>141754.3859649123</v>
      </c>
    </row>
    <row r="19" spans="9:10">
      <c r="I19" s="235"/>
      <c r="J19" s="237"/>
    </row>
    <row r="20" spans="9:10">
      <c r="I20" s="244" t="s">
        <v>72</v>
      </c>
      <c r="J20" s="245">
        <f>'Paneles ORIG'!O35</f>
        <v>7</v>
      </c>
    </row>
    <row r="21" spans="9:10">
      <c r="I21" s="244"/>
      <c r="J21" s="245"/>
    </row>
    <row r="22" spans="9:10">
      <c r="I22" s="246" t="s">
        <v>73</v>
      </c>
      <c r="J22" s="234"/>
    </row>
    <row r="23" spans="9:10">
      <c r="I23" s="246"/>
      <c r="J23" s="234"/>
    </row>
    <row r="24" spans="9:10" ht="15" customHeight="1">
      <c r="I24" s="235" t="s">
        <v>69</v>
      </c>
      <c r="J24" s="236">
        <f>'Paneles ORIG'!O39</f>
        <v>0.7</v>
      </c>
    </row>
    <row r="25" spans="9:10">
      <c r="I25" s="235"/>
      <c r="J25" s="237"/>
    </row>
    <row r="26" spans="9:10">
      <c r="I26" s="235"/>
      <c r="J26" s="237"/>
    </row>
    <row r="28" spans="9:10">
      <c r="I28" s="238" t="s">
        <v>76</v>
      </c>
      <c r="J28" s="238"/>
    </row>
    <row r="29" spans="9:10">
      <c r="I29" s="239"/>
      <c r="J29" s="239"/>
    </row>
    <row r="30" spans="9:10">
      <c r="I30" s="239"/>
      <c r="J30" s="239"/>
    </row>
    <row r="31" spans="9:10">
      <c r="I31" s="232" t="s">
        <v>77</v>
      </c>
      <c r="J31" s="233" t="e">
        <f>C4</f>
        <v>#DIV/0!</v>
      </c>
    </row>
    <row r="32" spans="9:10">
      <c r="I32" s="232"/>
      <c r="J32" s="233"/>
    </row>
    <row r="33" spans="9:10">
      <c r="I33" s="232" t="s">
        <v>88</v>
      </c>
      <c r="J33" s="234"/>
    </row>
    <row r="34" spans="9:10">
      <c r="I34" s="232"/>
      <c r="J34" s="234"/>
    </row>
  </sheetData>
  <mergeCells count="22">
    <mergeCell ref="I3:J3"/>
    <mergeCell ref="I4:J5"/>
    <mergeCell ref="I6:I9"/>
    <mergeCell ref="I10:I13"/>
    <mergeCell ref="I15:J15"/>
    <mergeCell ref="J6:J9"/>
    <mergeCell ref="I31:I32"/>
    <mergeCell ref="J31:J32"/>
    <mergeCell ref="I33:I34"/>
    <mergeCell ref="J33:J34"/>
    <mergeCell ref="J10:J13"/>
    <mergeCell ref="I24:I26"/>
    <mergeCell ref="J24:J26"/>
    <mergeCell ref="I28:J28"/>
    <mergeCell ref="I29:J30"/>
    <mergeCell ref="I16:J17"/>
    <mergeCell ref="I18:I19"/>
    <mergeCell ref="J18:J19"/>
    <mergeCell ref="I20:I21"/>
    <mergeCell ref="J20:J21"/>
    <mergeCell ref="I22:I23"/>
    <mergeCell ref="J22:J23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O14" sqref="O14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Paneles ORIG</vt:lpstr>
      <vt:lpstr>Paneles Sin Fac</vt:lpstr>
      <vt:lpstr>Paneles Con Fac</vt:lpstr>
      <vt:lpstr>INFORME con FACT</vt:lpstr>
      <vt:lpstr>POSIBLE ECO (2)</vt:lpstr>
      <vt:lpstr>Paneles BES</vt:lpstr>
      <vt:lpstr>Almacenamiento</vt:lpstr>
      <vt:lpstr>AmericaFotov</vt:lpstr>
      <vt:lpstr>'INFORME con FACT'!Área_de_impresión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2016-08-31T02:30:31Z</dcterms:created>
  <dcterms:modified xsi:type="dcterms:W3CDTF">2016-09-19T18:57:21Z</dcterms:modified>
</cp:coreProperties>
</file>